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bluetoothsig.sharepoint.com/sites/SpecificationDocumentManagement/Shared Documents/Test Documents/Maintenance/2025-1/TCRL sheets/"/>
    </mc:Choice>
  </mc:AlternateContent>
  <xr:revisionPtr revIDLastSave="26" documentId="13_ncr:1_{6BD0D013-9A4C-4C8F-B7E0-CE1285D92EE8}" xr6:coauthVersionLast="47" xr6:coauthVersionMax="47" xr10:uidLastSave="{92C39435-A22B-4046-B125-86606884CFAC}"/>
  <bookViews>
    <workbookView xWindow="46350" yWindow="1350" windowWidth="38700" windowHeight="15105" xr2:uid="{00000000-000D-0000-FFFF-FFFF00000000}"/>
  </bookViews>
  <sheets>
    <sheet name="Revisions" sheetId="5" r:id="rId1"/>
    <sheet name="3DSP Spec Errata" sheetId="7" r:id="rId2"/>
    <sheet name="A2DP Spec Errata" sheetId="8" r:id="rId3"/>
    <sheet name="AVCTP Spec Errata" sheetId="9" r:id="rId4"/>
    <sheet name="AVDTP Spec Errata" sheetId="10" r:id="rId5"/>
    <sheet name="AVRCP Spec Errata" sheetId="4" r:id="rId6"/>
    <sheet name="BIP Spec Errata" sheetId="11" r:id="rId7"/>
    <sheet name="BPP Spec Errata" sheetId="12" r:id="rId8"/>
    <sheet name="CTN Spec Errata" sheetId="13" r:id="rId9"/>
    <sheet name="DUN Spec Errata" sheetId="14" r:id="rId10"/>
    <sheet name="FTP Spec Errata" sheetId="15" r:id="rId11"/>
    <sheet name="GAVDP Spec Errata" sheetId="16" r:id="rId12"/>
    <sheet name="GOEP Spec Errata" sheetId="17" r:id="rId13"/>
    <sheet name="GPP Spec Errata" sheetId="18" r:id="rId14"/>
    <sheet name="HCRP Spec Errata" sheetId="19" r:id="rId15"/>
    <sheet name="HDP Spec Errata" sheetId="20" r:id="rId16"/>
    <sheet name="HFP Spec Errata" sheetId="21" r:id="rId17"/>
    <sheet name="HID Spec Errata" sheetId="22" r:id="rId18"/>
    <sheet name="HSP Spec Errata" sheetId="23" r:id="rId19"/>
    <sheet name="MAP Spec Errata" sheetId="24" r:id="rId20"/>
    <sheet name="OPP Spec Errata" sheetId="26" r:id="rId21"/>
    <sheet name="PBAP Spec Errata" sheetId="27" r:id="rId22"/>
    <sheet name="RFCOMM Spec Errata" sheetId="28" r:id="rId23"/>
    <sheet name="SAP Spec Errata" sheetId="29" r:id="rId24"/>
    <sheet name="SPP Spec Errata" sheetId="32" r:id="rId25"/>
    <sheet name="SYNC Spec Errata" sheetId="30" r:id="rId26"/>
    <sheet name="VDP Spec Errata" sheetId="31" r:id="rId2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4" i="24" l="1"/>
  <c r="A73" i="24"/>
  <c r="A72" i="24"/>
  <c r="A71" i="24"/>
  <c r="A70" i="24"/>
  <c r="A69" i="24"/>
  <c r="A68" i="24"/>
  <c r="A67" i="24"/>
  <c r="A66" i="24"/>
  <c r="H16" i="8"/>
  <c r="H72" i="4"/>
  <c r="A74" i="4"/>
  <c r="A73" i="4"/>
  <c r="A72" i="4"/>
  <c r="A71" i="4"/>
  <c r="A70" i="4"/>
  <c r="A69" i="4"/>
  <c r="A68" i="4"/>
  <c r="A67" i="4"/>
  <c r="A66" i="4"/>
  <c r="A65" i="4"/>
  <c r="A21" i="22" l="1"/>
  <c r="A20" i="22"/>
  <c r="A19" i="22"/>
  <c r="A18" i="22"/>
  <c r="A17" i="22"/>
  <c r="A16" i="22"/>
  <c r="A15" i="22"/>
  <c r="A14" i="22"/>
  <c r="A13" i="22"/>
  <c r="A12" i="22"/>
  <c r="A11" i="22"/>
  <c r="A19" i="21"/>
  <c r="A18" i="21"/>
  <c r="A17" i="21"/>
  <c r="A12" i="20"/>
  <c r="A11" i="20"/>
  <c r="A10" i="20"/>
  <c r="A12" i="18"/>
  <c r="A11" i="18"/>
  <c r="A10" i="18"/>
  <c r="A17" i="17"/>
  <c r="A16" i="17"/>
  <c r="A15" i="17"/>
  <c r="A14" i="17"/>
  <c r="A13" i="17"/>
  <c r="A12" i="17"/>
  <c r="A12" i="16"/>
  <c r="A11" i="16"/>
  <c r="A15" i="15"/>
  <c r="A14" i="15"/>
  <c r="A13" i="15"/>
  <c r="A12" i="15"/>
  <c r="A11" i="14"/>
  <c r="A13" i="13"/>
  <c r="A12" i="13"/>
  <c r="A11" i="13"/>
  <c r="A10" i="13"/>
  <c r="A17" i="11"/>
  <c r="A16" i="11"/>
  <c r="A15" i="11"/>
  <c r="A14" i="11"/>
  <c r="A13" i="11"/>
  <c r="A19" i="4"/>
  <c r="A18" i="4"/>
  <c r="A17" i="4"/>
  <c r="A11" i="10"/>
  <c r="A12" i="10"/>
  <c r="A13" i="10"/>
  <c r="A14" i="10"/>
  <c r="A13" i="9"/>
  <c r="A12" i="9"/>
  <c r="A17" i="8"/>
  <c r="A16" i="8"/>
  <c r="A15" i="8"/>
  <c r="A14" i="8"/>
  <c r="A14" i="7"/>
  <c r="A13" i="7"/>
  <c r="A12" i="7"/>
  <c r="H46" i="8" l="1"/>
  <c r="A46" i="8"/>
  <c r="A45" i="8"/>
  <c r="A44" i="8"/>
  <c r="H43" i="8"/>
  <c r="H41" i="8" l="1"/>
  <c r="A43" i="8"/>
  <c r="H42" i="8"/>
  <c r="A42" i="8"/>
  <c r="A41" i="8"/>
  <c r="A40" i="8"/>
  <c r="A39" i="8"/>
  <c r="A38" i="8"/>
  <c r="A37" i="8"/>
  <c r="A36" i="8"/>
  <c r="A35" i="8"/>
  <c r="A34" i="8"/>
  <c r="A33" i="8"/>
  <c r="A32" i="8"/>
  <c r="A31" i="8"/>
  <c r="A30" i="8"/>
  <c r="H31" i="27"/>
  <c r="H28" i="27"/>
  <c r="H27" i="27"/>
  <c r="H22" i="27"/>
  <c r="H17" i="27"/>
  <c r="H62" i="24"/>
  <c r="H33" i="24"/>
  <c r="H11" i="23"/>
  <c r="H69" i="21"/>
  <c r="H37" i="21"/>
  <c r="H27" i="21"/>
  <c r="H26" i="21"/>
  <c r="H21" i="21"/>
  <c r="H20" i="21"/>
  <c r="H18" i="21"/>
  <c r="H17" i="21"/>
  <c r="H12" i="14"/>
  <c r="H55" i="4"/>
  <c r="H54" i="4"/>
  <c r="H53" i="4"/>
  <c r="H52" i="4"/>
  <c r="H51" i="4"/>
  <c r="H47" i="4"/>
  <c r="H45" i="4"/>
  <c r="H32" i="4"/>
  <c r="H27" i="4"/>
  <c r="H26" i="4"/>
  <c r="H21" i="4"/>
  <c r="H17" i="4"/>
  <c r="H22" i="10"/>
  <c r="H18" i="10"/>
  <c r="A18" i="7"/>
  <c r="A10" i="31"/>
  <c r="A12" i="30"/>
  <c r="A11" i="30"/>
  <c r="A10" i="32"/>
  <c r="A12" i="29"/>
  <c r="A11" i="29"/>
  <c r="A10" i="28"/>
  <c r="A37" i="27"/>
  <c r="A36" i="27"/>
  <c r="A35" i="27"/>
  <c r="A34" i="27"/>
  <c r="A33" i="27"/>
  <c r="A32" i="27"/>
  <c r="A31" i="27"/>
  <c r="A30" i="27"/>
  <c r="A29" i="27"/>
  <c r="A28" i="27"/>
  <c r="A27" i="27"/>
  <c r="A26" i="27"/>
  <c r="A25" i="27"/>
  <c r="A24" i="27"/>
  <c r="A23" i="27"/>
  <c r="A22" i="27"/>
  <c r="A21" i="27"/>
  <c r="A20" i="27"/>
  <c r="A19" i="27"/>
  <c r="A18" i="27"/>
  <c r="A17" i="27"/>
  <c r="A16" i="27"/>
  <c r="A15" i="27"/>
  <c r="A14" i="27"/>
  <c r="A18" i="26"/>
  <c r="A17" i="26"/>
  <c r="A16" i="26"/>
  <c r="A15" i="26"/>
  <c r="A14" i="26"/>
  <c r="A13" i="26"/>
  <c r="A12" i="26"/>
  <c r="A11" i="26"/>
  <c r="A65" i="24"/>
  <c r="A64" i="24"/>
  <c r="A63" i="24"/>
  <c r="A62" i="24"/>
  <c r="A61" i="24"/>
  <c r="A60" i="24"/>
  <c r="A59" i="24"/>
  <c r="A58" i="24"/>
  <c r="A57" i="24"/>
  <c r="A56" i="24"/>
  <c r="A55" i="24"/>
  <c r="A54" i="24"/>
  <c r="A53" i="24"/>
  <c r="A52" i="24"/>
  <c r="A51" i="24"/>
  <c r="A50" i="24"/>
  <c r="A49" i="24"/>
  <c r="A48" i="24"/>
  <c r="A47" i="24"/>
  <c r="A46" i="24"/>
  <c r="A45" i="24"/>
  <c r="A44" i="24"/>
  <c r="A43" i="24"/>
  <c r="A42" i="24"/>
  <c r="A41" i="24"/>
  <c r="A40" i="24"/>
  <c r="A39" i="24"/>
  <c r="A38" i="24"/>
  <c r="A37" i="24"/>
  <c r="A36" i="24"/>
  <c r="A35" i="24"/>
  <c r="A34" i="24"/>
  <c r="A33" i="24"/>
  <c r="A32" i="24"/>
  <c r="A31" i="24"/>
  <c r="A30" i="24"/>
  <c r="A29" i="24"/>
  <c r="A28" i="24"/>
  <c r="A27" i="24"/>
  <c r="A26" i="24"/>
  <c r="A25" i="24"/>
  <c r="A24" i="24"/>
  <c r="A23" i="24"/>
  <c r="A22" i="24"/>
  <c r="A21" i="24"/>
  <c r="A20" i="24"/>
  <c r="A19" i="23"/>
  <c r="A18" i="23"/>
  <c r="A17" i="23"/>
  <c r="A16" i="23"/>
  <c r="A15" i="23"/>
  <c r="A14" i="23"/>
  <c r="A13" i="23"/>
  <c r="A12" i="23"/>
  <c r="A88" i="21"/>
  <c r="A87" i="21"/>
  <c r="A86" i="21"/>
  <c r="A85" i="21"/>
  <c r="A84" i="21"/>
  <c r="A83" i="21"/>
  <c r="A82" i="21"/>
  <c r="A81" i="21"/>
  <c r="A80" i="21"/>
  <c r="A79" i="21"/>
  <c r="A78" i="21"/>
  <c r="A77" i="21"/>
  <c r="A76" i="21"/>
  <c r="A75" i="21"/>
  <c r="A74" i="21"/>
  <c r="A73" i="21"/>
  <c r="A72" i="21"/>
  <c r="A71" i="21"/>
  <c r="A70" i="21"/>
  <c r="A69" i="21"/>
  <c r="A68" i="21"/>
  <c r="A67" i="21"/>
  <c r="A66" i="21"/>
  <c r="A65" i="21"/>
  <c r="A64" i="21"/>
  <c r="A63" i="21"/>
  <c r="A62" i="21"/>
  <c r="A61" i="21"/>
  <c r="A60" i="21"/>
  <c r="A59" i="21"/>
  <c r="A58" i="21"/>
  <c r="A57" i="21"/>
  <c r="A56" i="21"/>
  <c r="A55" i="21"/>
  <c r="A54" i="21"/>
  <c r="A53" i="21"/>
  <c r="A52" i="21"/>
  <c r="A51" i="21"/>
  <c r="A50" i="21"/>
  <c r="A49" i="21"/>
  <c r="A48" i="21"/>
  <c r="A47" i="21"/>
  <c r="A46" i="21"/>
  <c r="A45" i="21"/>
  <c r="A44" i="21"/>
  <c r="A43" i="21"/>
  <c r="A42" i="21"/>
  <c r="A41" i="21"/>
  <c r="A40" i="21"/>
  <c r="A39" i="21"/>
  <c r="A38" i="21"/>
  <c r="A37" i="21"/>
  <c r="A36" i="21"/>
  <c r="A35" i="21"/>
  <c r="A34" i="21"/>
  <c r="A33" i="21"/>
  <c r="A32" i="21"/>
  <c r="A31" i="21"/>
  <c r="A30" i="21"/>
  <c r="A29" i="21"/>
  <c r="A28" i="21"/>
  <c r="A27" i="21"/>
  <c r="A26" i="21"/>
  <c r="A25" i="21"/>
  <c r="A24" i="21"/>
  <c r="A23" i="21"/>
  <c r="A22" i="21"/>
  <c r="A21" i="21"/>
  <c r="A20" i="21"/>
  <c r="A16" i="15"/>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23" i="10"/>
  <c r="A22" i="10"/>
  <c r="A21" i="10"/>
  <c r="A20" i="10"/>
  <c r="A19" i="10"/>
  <c r="A18" i="10"/>
  <c r="A17" i="10"/>
  <c r="A16" i="10"/>
  <c r="A15" i="10"/>
  <c r="A29" i="8"/>
  <c r="A28" i="8"/>
  <c r="A27" i="8"/>
  <c r="A26" i="8"/>
  <c r="A25" i="8"/>
  <c r="A24" i="8"/>
  <c r="A23" i="8"/>
  <c r="A22" i="8"/>
  <c r="A21" i="8"/>
  <c r="A20" i="8"/>
  <c r="A19" i="8"/>
  <c r="A18" i="8"/>
  <c r="A17" i="7"/>
  <c r="A16" i="7"/>
  <c r="A15" i="7"/>
</calcChain>
</file>

<file path=xl/sharedStrings.xml><?xml version="1.0" encoding="utf-8"?>
<sst xmlns="http://schemas.openxmlformats.org/spreadsheetml/2006/main" count="2441" uniqueCount="674">
  <si>
    <t>Test Impact</t>
  </si>
  <si>
    <t>No</t>
  </si>
  <si>
    <t>Comment</t>
  </si>
  <si>
    <t>TSE Status</t>
  </si>
  <si>
    <t/>
  </si>
  <si>
    <t>Editorial</t>
  </si>
  <si>
    <t xml:space="preserve">Adoption Date </t>
  </si>
  <si>
    <t>Errata Summary</t>
  </si>
  <si>
    <t>Spec Version</t>
  </si>
  <si>
    <t>Integrated Errata</t>
  </si>
  <si>
    <t>AVRCP 1.5.1</t>
  </si>
  <si>
    <t>AVRCP 1.6.3</t>
  </si>
  <si>
    <t>AVRCP 1.6.1</t>
  </si>
  <si>
    <t>AVRCP 1.6.2</t>
  </si>
  <si>
    <t>Deprecated</t>
  </si>
  <si>
    <t>Active</t>
  </si>
  <si>
    <t xml:space="preserve">Release date: </t>
  </si>
  <si>
    <t>p0</t>
  </si>
  <si>
    <t>Revision History</t>
  </si>
  <si>
    <t>Version</t>
  </si>
  <si>
    <t>Date</t>
  </si>
  <si>
    <t>Changes</t>
  </si>
  <si>
    <t>Missing reference</t>
  </si>
  <si>
    <t>Availability of referenced trade specification documents</t>
  </si>
  <si>
    <t>Duplicate APPENDIX A</t>
  </si>
  <si>
    <t>The size of Capability parameter is incorrect</t>
  </si>
  <si>
    <t>Appropriate Language updates</t>
  </si>
  <si>
    <t>Errata numbers and square brackets need to be removed</t>
  </si>
  <si>
    <t>AVRCP 1.6</t>
  </si>
  <si>
    <t>List of Media Attributes not updated with the cover art Attribute ID</t>
  </si>
  <si>
    <t>Cover Art BIP Image Handle attribute updated on the Assigned Numbers page and in Appendix E</t>
  </si>
  <si>
    <t>Table 6.5 GetCapabilities Command Allowed Values - Incorrect Value</t>
  </si>
  <si>
    <t>AVRCP 1.3</t>
  </si>
  <si>
    <t>Errata 2077, 2079</t>
  </si>
  <si>
    <t>AVRCP 1.4</t>
  </si>
  <si>
    <t>AVRCP 1.5</t>
  </si>
  <si>
    <t>Reference to wrong section</t>
  </si>
  <si>
    <t>Wrong size of Identifier in Get Element Attribute example</t>
  </si>
  <si>
    <t>ESR04: 2549, 2685
ESR05: 2255, 2560, 2572, 2588, 2687, 2688, 2698, 2707, 2708, 2720, 2740, 2761, 2762, 2763, 2786, 2814, 2932, 2961</t>
  </si>
  <si>
    <t>ESR09: 6069, 6073</t>
  </si>
  <si>
    <t>Audio Video Remote Control Profile  (AVRCP)</t>
  </si>
  <si>
    <t>Clarification of button press and release</t>
  </si>
  <si>
    <t>Released</t>
  </si>
  <si>
    <t>New test cases added</t>
  </si>
  <si>
    <t>Page 88 Get Element Attributes command/Response</t>
  </si>
  <si>
    <t>Register Notification EVENT_TRACK_CHANGED response</t>
  </si>
  <si>
    <t>New test cases added. Same test impact as E2274, E2685</t>
  </si>
  <si>
    <t>Table 5.27 EventID Allowed Values</t>
  </si>
  <si>
    <t>incorrect values for packet types</t>
  </si>
  <si>
    <t>Incorrect words in section 5</t>
  </si>
  <si>
    <t>Incorrect supported role</t>
  </si>
  <si>
    <t>Unclear which attributes to return in EVENT_ PLAYER_APPLICATION_SETTING_CHANGED</t>
  </si>
  <si>
    <t>New test case added.</t>
  </si>
  <si>
    <t>Clarify value of parameter length field for fragmented messages</t>
  </si>
  <si>
    <t>ESR04: 894, 2274, 2275, 2290, 2294, 2374, 2436, 2497
ESR05: 2255</t>
  </si>
  <si>
    <t>clarify requirement on the order of Company IDs in table 5.1</t>
  </si>
  <si>
    <t>Number of AttributeIDs when NumAttributes is 0</t>
  </si>
  <si>
    <t>Attribute/value text only for extended attributes</t>
  </si>
  <si>
    <t>Clarify "parameterID"</t>
  </si>
  <si>
    <t>Not clear what values to use for identifier in table 6.32.</t>
  </si>
  <si>
    <t>Parameter Description of Start Item parameter for GetFolderItems command is confusing</t>
  </si>
  <si>
    <t>Cosmetic corrections needed for AVRCP v1.4 specification</t>
  </si>
  <si>
    <t>Service class for CT is not just</t>
  </si>
  <si>
    <t>uidCounter parameter is missing from the example of ChangePath command</t>
  </si>
  <si>
    <t>Figures 2.4 and 2.7 in Section 2.3 requires modification</t>
  </si>
  <si>
    <t>MSC 26.12 Player Removed when not active same as MSC 26.13 Remove Active Player</t>
  </si>
  <si>
    <t>Clarification of Error Code when Folder Item not playable</t>
  </si>
  <si>
    <t>Not clear what values to set for 'Playing times in millisecond' of GetElementAttributes</t>
  </si>
  <si>
    <t>Cosmetic section name fix: 4.5.1 shallshallshallmayshallSupport Level in TG</t>
  </si>
  <si>
    <t>Clarify meaning of InformDisplayableCharacterSet</t>
  </si>
  <si>
    <t>Clarify naming for field in Group Navigation command/response</t>
  </si>
  <si>
    <t>Typo of notification event ‘Available Players Changed’</t>
  </si>
  <si>
    <t>Add press and hold feature</t>
  </si>
  <si>
    <t>Player initiation delay after switching addressed player on TG</t>
  </si>
  <si>
    <t>Treatment of top bit in Absolute Volume</t>
  </si>
  <si>
    <t>Not clear about fragmentation of AV/C command PDUs and Vendor dependent command PDUs</t>
  </si>
  <si>
    <t>Browsing command for Get Folders example</t>
  </si>
  <si>
    <t>Not clear what value to set for Folder Depth</t>
  </si>
  <si>
    <t>Feature requirement for General Reject PDU is wrong</t>
  </si>
  <si>
    <t>GAP requirements need to be corrected</t>
  </si>
  <si>
    <t>ICS changes</t>
  </si>
  <si>
    <t>Browsing channel establishment</t>
  </si>
  <si>
    <t>TCMT changes</t>
  </si>
  <si>
    <t>Inconsistent M/O statements in table 4.5</t>
  </si>
  <si>
    <t>Clarify M/O/C in Tables 4.5 and 4.6</t>
  </si>
  <si>
    <t>Support requirement of Continuation PDUs</t>
  </si>
  <si>
    <t>Example Response for Get Folder Items.(MediaPlayerList) incorrect</t>
  </si>
  <si>
    <t>ESR06: 2715, 3155, 3208, 3294, 3662, 3747, 4121, 4566
ESR07: 4977
ESR08: 5376, 5539</t>
  </si>
  <si>
    <t>3D Synchronization Profile  (3DSP)</t>
  </si>
  <si>
    <t>Required Features:
Capabilities (M for TG role Cat 1, otherwise O), Metadata Attributes (M for TG role Cat 1, otherwise O), Notifications (M for TG role Cat 1, otherwise O), Continuation (M for TG role Cat 1, otherwise O)
Optional Features:
Player Application Settings, Basic Group Navigation</t>
  </si>
  <si>
    <t>Required Features:
Error Response (M for TG, M for CT supporting any optional features from 1.3 or later), Absolute Volume (M for CT and TG Cat 2), Media Player Selection [includes Browsing Channel] (M for TG role CAT 1 or 3, otherwise O),
Optional Features:
Multiple Players, Browsing - (Search, Now Playing, Playable Folders), Database Aware Players</t>
  </si>
  <si>
    <t>None. Implementation of Errata only</t>
  </si>
  <si>
    <t>N/A</t>
  </si>
  <si>
    <t>Required Features:
None
Optional Features:
Cover Art</t>
  </si>
  <si>
    <t>3DSP 1.0.1</t>
  </si>
  <si>
    <t>3DSP 1.0.2</t>
  </si>
  <si>
    <t>3DSP 1.0.3</t>
  </si>
  <si>
    <t>Erratum 5256</t>
  </si>
  <si>
    <t>ESR09: 5256, 6327, 6328, 6329, 6330</t>
  </si>
  <si>
    <t>Core compatibility not forward compatible</t>
  </si>
  <si>
    <t>Format not clear for Frame Sync Instant and phase</t>
  </si>
  <si>
    <t>TBD needs correction</t>
  </si>
  <si>
    <t>ESR08: 5133, 5255
ESR05: 2255</t>
  </si>
  <si>
    <t>Resolutions to remaining BARB comments on the 3D Sync Profile spec</t>
  </si>
  <si>
    <t>Resolutions to remaining BARB comments on the 3D Sync Profile spec.</t>
  </si>
  <si>
    <t>6327, 6328, 6329, and 6330 have the same subject</t>
  </si>
  <si>
    <t>A2DP 1.2</t>
  </si>
  <si>
    <t>A2DP 1.3</t>
  </si>
  <si>
    <t>A2DP 1.3.1</t>
  </si>
  <si>
    <t>A2DP 1.3.2</t>
  </si>
  <si>
    <t>ESR04: 879, 938
ESR05: 2903, 3043, 3631</t>
  </si>
  <si>
    <t>Advanced Audio Distribution Profile  (A2DP)</t>
  </si>
  <si>
    <t>ESR02: 447</t>
  </si>
  <si>
    <t>ATRAC Service Capabilities</t>
  </si>
  <si>
    <t>ESR08: 5272</t>
  </si>
  <si>
    <t>ESR11: 7680</t>
  </si>
  <si>
    <t>ESR11: 6731, 7369, 7370
ESR12: 9120, 9121, 9494</t>
  </si>
  <si>
    <t>Only the devices supporting SRC role should be required to support inquiry - Extension of err 872</t>
  </si>
  <si>
    <t>1709
1806
1807</t>
  </si>
  <si>
    <t>ICS and TCMT changes to move requirements to GAVDP</t>
  </si>
  <si>
    <t>Move test requirements from ICS to Appendix in A2DP</t>
  </si>
  <si>
    <t>Missing information on MP3 Bit Rate Index meaning when VBR is activated</t>
  </si>
  <si>
    <t>SNK Bitpool capabilities do not reflect actual capabilities of individual SNKs</t>
  </si>
  <si>
    <t>32-bit Vendor ID referenced by the spec does not exist in the Bluetooth Assigned Numbers pages</t>
  </si>
  <si>
    <t>missing SBC pseudo-code in A2DP v1.3</t>
  </si>
  <si>
    <t>Erratum backwards compatibility issue</t>
  </si>
  <si>
    <t>Removes E3043</t>
  </si>
  <si>
    <t>Adopted Erratum 5272 not properly integrated in final document</t>
  </si>
  <si>
    <t>Missing pseudo code</t>
  </si>
  <si>
    <t>GAVDP INT Role should be Mandatory in Table 5.1</t>
  </si>
  <si>
    <t>Wrong text</t>
  </si>
  <si>
    <t>Some parts of pseudo codes are missing</t>
  </si>
  <si>
    <t>AVCTP 1.2</t>
  </si>
  <si>
    <t>AVCTP 1.3</t>
  </si>
  <si>
    <t>AVCTP 1.4</t>
  </si>
  <si>
    <t>Audio/Video Control Transport Protocol  (AVCTP)</t>
  </si>
  <si>
    <t>None</t>
  </si>
  <si>
    <t>ESR03: 733
ESR05: 2689</t>
  </si>
  <si>
    <t>AVCTP Transaction Label &amp; Fragmentation Clarification</t>
  </si>
  <si>
    <t>Possible Typo to be corrected</t>
  </si>
  <si>
    <t>ESR03: 733 (partially integrated)</t>
  </si>
  <si>
    <t>Audio/Video Distribution Transport Protocol  (AVDTP)</t>
  </si>
  <si>
    <t>AVDTP 1.2</t>
  </si>
  <si>
    <t>AVDTP 1.3</t>
  </si>
  <si>
    <t>Required Features:
Delay Reporting (M for Sink role, otherwise O)
Optional Features:
Synchronization (Source feature), Vendor Specific A2DP codecs</t>
  </si>
  <si>
    <t>Required Features:
General Reject response
Optional Features:
Stream get all capabilities, Delay Reporting, Enhanced L2CAP Channel Modes</t>
  </si>
  <si>
    <t>ESR02: 310
ESR04: 735, 917, 2163
ESR05: 2911, 3049</t>
  </si>
  <si>
    <t>ESR02: 304, 322, 332, 470, 500, 501, 502</t>
  </si>
  <si>
    <t>Clarify relation SEP to Codec</t>
  </si>
  <si>
    <t>Corrupted Messages</t>
  </si>
  <si>
    <t>Update of RTP reference</t>
  </si>
  <si>
    <t>Service Category in Reject</t>
  </si>
  <si>
    <t>Multiple Stream Establishments</t>
  </si>
  <si>
    <t>Symmetric Requests</t>
  </si>
  <si>
    <t>Discover Response Clarification</t>
  </si>
  <si>
    <t>Reporting Capability Error</t>
  </si>
  <si>
    <t>INT cannot detect General reject sent from ACP</t>
  </si>
  <si>
    <t>Clarify what resources an ACP may release on receipt of AVDTP Close
 Clarify what resources an ACP may release on receipt of AVDTP Close</t>
  </si>
  <si>
    <t>2522
2834
3042</t>
  </si>
  <si>
    <t>Abort not clear: Aborting a message or a SEP?</t>
  </si>
  <si>
    <t>Preconditions to a stream reconfiguration are not clear</t>
  </si>
  <si>
    <t>The service category for AVDTP reconfigure reject message</t>
  </si>
  <si>
    <t>Basic Imaging Profile  (BIP)</t>
  </si>
  <si>
    <t>BIP 1.0.1</t>
  </si>
  <si>
    <t>BIP 1.1</t>
  </si>
  <si>
    <t>BIP 1.2</t>
  </si>
  <si>
    <t>BIP 1.2.1</t>
  </si>
  <si>
    <t>ESR11: 2692</t>
  </si>
  <si>
    <t>Required Features:
OBEX Application Enhancements (GOEP 2.0)</t>
  </si>
  <si>
    <t>ESR11: 5087, 7789</t>
  </si>
  <si>
    <t>Hyperlink in reference [15] DPOF updated</t>
  </si>
  <si>
    <t>GetStatus Success Response mandates a tear-down of Primary Connection</t>
  </si>
  <si>
    <t>ESR04: 710
ESR07: 4291</t>
  </si>
  <si>
    <t>Incorrect Figure 4.3 describing the Typical Image Pull Sequence</t>
  </si>
  <si>
    <t>Wrong text in Figure 4-3 : Copy paste error</t>
  </si>
  <si>
    <t>Typo in 6.2 Service Discover Procedure on page 77 (out of 92)</t>
  </si>
  <si>
    <t>Basic Printing Profile  (BPP)</t>
  </si>
  <si>
    <t>BPP 1.2</t>
  </si>
  <si>
    <t>Calendar, Tasks and Notes Profile  (CTN)</t>
  </si>
  <si>
    <t>CTN 1.0.1</t>
  </si>
  <si>
    <t>ESR10: 6945, 6957, 6958
ESR11: 7283</t>
  </si>
  <si>
    <t>Invalid reference in CTN-Event-Report(cal_type Attribute)</t>
  </si>
  <si>
    <t>Typo in Figure 4.3. Written PAS client instead of CAS Client</t>
  </si>
  <si>
    <t>Unclear description about application parameters</t>
  </si>
  <si>
    <t>typo in sec 5.5.4 Application Parameters(StatusValue)</t>
  </si>
  <si>
    <t>Dial Up Networking Profile (DUN)</t>
  </si>
  <si>
    <t>DUN 1.2</t>
  </si>
  <si>
    <t>ESR01: 2196
ESR05: 284</t>
  </si>
  <si>
    <t>Not Categorized</t>
  </si>
  <si>
    <t>Remove mandatory use of the 'Phone' Major Device class in CoD.</t>
  </si>
  <si>
    <t>File Transfer Profile  (FTP)</t>
  </si>
  <si>
    <t>FTP 1.2</t>
  </si>
  <si>
    <t>FTP 1.3</t>
  </si>
  <si>
    <t>FTP 1.3.1</t>
  </si>
  <si>
    <t>ESR05: 3944</t>
  </si>
  <si>
    <t>ESR09: 4143, 5557</t>
  </si>
  <si>
    <t>ESR05: 2496, 3085</t>
  </si>
  <si>
    <t>Name header description should be more specific</t>
  </si>
  <si>
    <t>Incorrect mandatory requirements</t>
  </si>
  <si>
    <t>Applied to all OBEX Profiles</t>
  </si>
  <si>
    <t>Wrong entry in table, and wrong table title</t>
  </si>
  <si>
    <t>Typo: Invalid Reference</t>
  </si>
  <si>
    <t>Table 4.3 of section 4.2 Folder browsing should not contain the last two additional operations</t>
  </si>
  <si>
    <t>Generic Audio/Video Distribution Profile  (GAVDP)</t>
  </si>
  <si>
    <t>GAVDP 1.2</t>
  </si>
  <si>
    <t>GAVDP 1.3</t>
  </si>
  <si>
    <t>None. Updates for Bluetooth 1.2 and editorial changes only</t>
  </si>
  <si>
    <t>ESR04: 872 (partially applied), 928</t>
  </si>
  <si>
    <t>Erratum ID</t>
  </si>
  <si>
    <t>None. Updates for Bluetooth 1.2 and implementation of Errata only</t>
  </si>
  <si>
    <t>This Document is an informative supplement to the TCRL and Test Documents to help track integrated errata into specifications in maintenance and enhancements.</t>
  </si>
  <si>
    <t>Required Features:
Stream get all capabilities
Optional Features:
Delay Reporting</t>
  </si>
  <si>
    <t>All acceptors need not be in Discoverable mode &amp; all initiators dont need capability to perform inquiry</t>
  </si>
  <si>
    <t>Not possible to start streaming in all cases</t>
  </si>
  <si>
    <t>Generic Object Exchange Profile  (GOEP)</t>
  </si>
  <si>
    <t>GOEP 2.0</t>
  </si>
  <si>
    <t>GOEP 2.1</t>
  </si>
  <si>
    <t>GOEP 2.1.1</t>
  </si>
  <si>
    <t>ESR10: 4231</t>
  </si>
  <si>
    <t>ESR03: 903</t>
  </si>
  <si>
    <t>ESR09: 330, 3468, 3547, 4128</t>
  </si>
  <si>
    <t>Required Features:
OBEX Application Enhancements (OBEX 1.5)</t>
  </si>
  <si>
    <t>GOEP forces mutual authentication, OBEX doesn't</t>
  </si>
  <si>
    <t>The code(0x83) of FGET must be added as Opcode for GET in the value field on Table 5.11</t>
  </si>
  <si>
    <t>Add flexibility for unexpected PUT response (CONTINUE or SUCCESS) during SRM</t>
  </si>
  <si>
    <t>Remove SRM 0x02 header in Connect Response + Recommend SRM usage for all PUT/GET operations</t>
  </si>
  <si>
    <t>Presence of Bodyheader shall not be mandated for the first PUT/GET packet.</t>
  </si>
  <si>
    <t>Already implemented in GOEP 2.0 but filed to track for other specs referencing GOEP. Correct response code in table 5.6 is "0xC1 for Unauthorized".</t>
  </si>
  <si>
    <t>"Subject Blank"</t>
  </si>
  <si>
    <t>Generic PIM Profile  (GPP)</t>
  </si>
  <si>
    <t>GPP 1.0.1</t>
  </si>
  <si>
    <t>ESR09: 6183, 6184, 6185</t>
  </si>
  <si>
    <t>Typo Error</t>
  </si>
  <si>
    <t>Remove unnecessary numbers in request and response table</t>
  </si>
  <si>
    <t>Hard Copy Cable Replacement Profile  (HCRP)</t>
  </si>
  <si>
    <t>HCRP 1.2</t>
  </si>
  <si>
    <t>Health Device Profile  (HDP)</t>
  </si>
  <si>
    <t>HDP 1.1</t>
  </si>
  <si>
    <t>ESR05: 2888, 2937, 2947</t>
  </si>
  <si>
    <t>Confirmed IEEE 11073 20601 events on the first reliable channel</t>
  </si>
  <si>
    <t>Incorrect recommendation for use of TxWindow in Streaming mode</t>
  </si>
  <si>
    <t xml:space="preserve">Add the optional ServiceRecordState attribute to the service record for HDP device in Paragraph 5.1
 </t>
  </si>
  <si>
    <t>Hands-Free Profile  (HFP)</t>
  </si>
  <si>
    <t>HFP 1.5</t>
  </si>
  <si>
    <t>HFP 1.5.1</t>
  </si>
  <si>
    <t>HFP 1.6</t>
  </si>
  <si>
    <t>HFP 1.6.1</t>
  </si>
  <si>
    <t>HFP 1.7</t>
  </si>
  <si>
    <t>HFP 1.7.1</t>
  </si>
  <si>
    <t>HFP 1.7.2</t>
  </si>
  <si>
    <t>HFP 1.8</t>
  </si>
  <si>
    <t>Required Features:
Subscriber Number Information (M for AG, otherwise O), Enhanced Call Status (M for AG, otherwise O)
Optional Features:
Response and Hold, Enhanced Call Control</t>
  </si>
  <si>
    <t>Errata: 261, 317, 549, 550, 575, 706, 731, 819, 820, 821, 822, 823
ESR02: 13, 586, 635
ESR04: 746</t>
  </si>
  <si>
    <t>Required Features:
Individual Indicator Activation (M for AG, otherwise O)
Optional Features:
Wide Band Speech, Codec Negotiation</t>
  </si>
  <si>
    <t>ESR11: 8739</t>
  </si>
  <si>
    <t>Required Features:
None
Optional Features:
HF Indicators</t>
  </si>
  <si>
    <t>ESR09: 6105</t>
  </si>
  <si>
    <t>Required Features:
None
Optional Features:
Enhanced Voice Recognition Activation</t>
  </si>
  <si>
    <t>Erratum 11729</t>
  </si>
  <si>
    <t>Errata: 1872, 1989, 2043, 2144, 2146, 2259, 3090, 3152, 3688, 3816, 3910
ESR03: 1934
ESR05: 2037, 2211, 2459, 2716
ESR06: 913, 1859, 1868 
ESR07: 1878, 1958, 2209, 2276, 2286, 2484, 2713, 2742, 2855</t>
  </si>
  <si>
    <t>ESR08: 4718, 4893, 5213, 5336
ESR09: 5806
ESR11: 8739</t>
  </si>
  <si>
    <t>ESR10: 6544, 6628
ESR11: 6835, 8620, 9009, 9034, 9089
ESR12: 9119, 9122, 9123, 9127, 9158, 9168, 9169, 9170, 9174, 9203, 9204, 10424</t>
  </si>
  <si>
    <t>Contradicting requirements in references to GAP</t>
  </si>
  <si>
    <t>Subject (From Errata System)</t>
  </si>
  <si>
    <t>HFP Mandates features of MMI</t>
  </si>
  <si>
    <t>Deactivation of event reporting</t>
  </si>
  <si>
    <t>Erratum is in Withdrawn state but it is listed in the Specification Version History under incorporated errata</t>
  </si>
  <si>
    <t>Erratum is in Withdrawn state but it is listed in the Specification Version History under incorporated errata. The change to add "/deactivation" to "activation" has been incorporated in the HFP 1.5 Spec in the AT+CMER description in 4.33.1</t>
  </si>
  <si>
    <t>Call Reject</t>
  </si>
  <si>
    <t>Erratum is in Withdrawn state but it is listed in the Specification Version History under incorporated errata. The change to add "The AG shall then cease alerting the HF of the incoming call…" has been incorporated in the HFP 1.5 Spec in section 4.14.1.</t>
  </si>
  <si>
    <t>Support of Explicit Call Transfer</t>
  </si>
  <si>
    <t>Clarify the format of “HF supported feature bitmap” field of AT+BRSF</t>
  </si>
  <si>
    <t>Erratum is in Withdrawn state but it is listed in the Specification Version History under incorporated errata. The change to modify the text for AT+BRSF values to "a decimal numeric string, which represents the value of a 32 bit unsigned integer. The 32 bit unsigned integer represents a bitmap of the supported features in the HF as follows:" has been incorporated in the HFP 1.5 Spec in the AT+BRSF description in 4.33.1</t>
  </si>
  <si>
    <t>Interop problems require clarification of AT+CHUP command action</t>
  </si>
  <si>
    <t>ATD&gt;nnn; limits the number of dialing digits</t>
  </si>
  <si>
    <t>Ambiguity of interpreting ISDN numbers with "+"</t>
  </si>
  <si>
    <t>Contradictions and lack of stringency in</t>
  </si>
  <si>
    <t>Three Way Calling specifications are GSM-centric</t>
  </si>
  <si>
    <t>Existing tests modified. ICS modified.</t>
  </si>
  <si>
    <t>Other: BRSF bit definitions</t>
  </si>
  <si>
    <t>Erratum is in Accepted state but it is listed in the Specification Version History under incorporated errata. It was filed against HFP 1.5 draft spec.</t>
  </si>
  <si>
    <t>Enhanced Call Control: Figure 4.51 corrupted</t>
  </si>
  <si>
    <t>Enhanced Call Control: Add SAP</t>
  </si>
  <si>
    <t>Other: Duplicate text in +CLCC</t>
  </si>
  <si>
    <t>Other: Add headset usage scenario from into HFP</t>
  </si>
  <si>
    <t>service' parameter shall be optional in +CNUM response</t>
  </si>
  <si>
    <t>AT+CHLD</t>
  </si>
  <si>
    <t>AT+CIND discrepancy during SLC initializaiton</t>
  </si>
  <si>
    <t>Multiparty Clarification</t>
  </si>
  <si>
    <t>Retrieving a held call after releasing a specified party in a multiparty call contradicts 3GPP specs</t>
  </si>
  <si>
    <t>Audio Connection Release</t>
  </si>
  <si>
    <t>Edit error in +BVRA description</t>
  </si>
  <si>
    <t>OK response to AT+COPS? missing in sequence chart figure 4-7</t>
  </si>
  <si>
    <t>Erratum is in Trivially Rejected state but it is listed in the Specification Version History under incorporated errata for HFP 1.6. The change has been made to the MSC in Figure 4.7: Query currently selected network operator in HFP 1.6.</t>
  </si>
  <si>
    <t>Allowing AT+CHLD=3 when there is an active and a waiting call contradicts 4.33.2, GSM</t>
  </si>
  <si>
    <t>Definition for call indicator contradicts definition in 3GPP specs</t>
  </si>
  <si>
    <t>Erratum is in Trivially Rejected state but it is listed in the Specification Version History under incorporated errata for HFP 1.6. The change has been made to the description for call indicator in AT+CIND in Section 4.33.2 in HFP 1.6.</t>
  </si>
  <si>
    <t>Waiting call not accepted clarification</t>
  </si>
  <si>
    <t>Erratum is in Trivially Rejected state but it is listed in the Specification Version History under incorporated errata for HFP 1.6. The clarifying text about "if the user rejects the call at the hf…" has been added in Section 4.22.1 in HFP 1.6.</t>
  </si>
  <si>
    <t>Value of callheld indicator is left unspecified</t>
  </si>
  <si>
    <t>Typo</t>
  </si>
  <si>
    <t>Mismatch between SDP/BRSF and Application Requirements for call waiting+3way calling</t>
  </si>
  <si>
    <t>ESR11: 8738</t>
  </si>
  <si>
    <t>CIEV call setup=0 if new call succeeds or not with HF initiated TWC</t>
  </si>
  <si>
    <t>Erratum is in Trivially Rejected state but it is listed in the Specification Version History under incorporated errata for HFP 1.6. The change has been made to add the clarifying text about the call held indicator in Section 4.22.2 in HFP 1.6.</t>
  </si>
  <si>
    <t>Erratum is in Withdrawn state but it is listed in the Specification Version History under incorporated errata for HFP 1.6. The change has been made to add the clarifying text about CIEV order in Section 4.22.2 in HFP 1.6.</t>
  </si>
  <si>
    <t>Figure 4.25</t>
  </si>
  <si>
    <t>Typo Error in BSIR response code description</t>
  </si>
  <si>
    <t>Incorrect sequence of indicators update</t>
  </si>
  <si>
    <t>Devices are getting through qualification that don’t allow other devices to connect. This does not foster interoperability amongst the Bluetooth eco system</t>
  </si>
  <si>
    <t>Affect of AT+CHUP on held calls unclear</t>
  </si>
  <si>
    <t>Response and Hold Status Reporting</t>
  </si>
  <si>
    <t>limit the number of ciev indicators</t>
  </si>
  <si>
    <t>AT+CMER Mode 0 Not Covered</t>
  </si>
  <si>
    <t>Definition of Signal Status Update Activation Missing</t>
  </si>
  <si>
    <t>Erratum is in Trivially Rejected state but it is listed in the Specification Version History under incorporated errata for HFP 1.6. The change has been made to add the clarifying text about CMER in Section 4.5 in HFP 1.6.</t>
  </si>
  <si>
    <t>Status Updates for AT+CHLD=1x Need Clarification</t>
  </si>
  <si>
    <t>Erratum is in Trivially Rejected state but it is listed in the Specification Version History under incorporated errata for HFP 1.6. The change has been made to add the clarifying text "If there is a change in the call status, the AG shall report the change in call status. If there is a change in the held call status, the AG shall report the change in call held status" in Section 4.32.1 in HFP 1.6.</t>
  </si>
  <si>
    <t>AT+BAC - Values</t>
  </si>
  <si>
    <t>Erratum is in Accepted state but it is listed in the Specification Version History under incorporated errata. It was filed against HFP 1.6 draft spec.</t>
  </si>
  <si>
    <t>Adding a line on supporting speakers gain synchronization when it supports remote speakers gain control</t>
  </si>
  <si>
    <t>Erratum is in Trivially Rejected state but it is listed in the Specification Version History under incorporated errata for HFP 1.6. The change has been made to add the clarifying text "The HF shall support speaker gain synchronization when it supports remote speaker gain control.
The HF shall support microphone gain synchronization when it supports remote microphone gain control." in Section 4.28.2 in HFP 1.6.</t>
  </si>
  <si>
    <t>Mistake in Figure 4.11</t>
  </si>
  <si>
    <t>Erratum is in Declined state but it is listed in the Specification Version History under incorporated errata. It was filed against HFP 1.6 draft spec.</t>
  </si>
  <si>
    <t>clarification for AT+BRSF command definition</t>
  </si>
  <si>
    <t>Removes Erratum 2211</t>
  </si>
  <si>
    <t>Typo in AT+BIA (Bluetooth Indicators Activation)</t>
  </si>
  <si>
    <t>callheld=1 is erroneous</t>
  </si>
  <si>
    <t>Incorrect hyperlink for reference</t>
  </si>
  <si>
    <t>CallHeld Description is Redundant</t>
  </si>
  <si>
    <t>HFP 1.7 Message sequence chart error</t>
  </si>
  <si>
    <t>Codec Negotiation for</t>
  </si>
  <si>
    <t>Typo in Section Header</t>
  </si>
  <si>
    <t>S1/T1 should not be mandated for links using Secure Connections</t>
  </si>
  <si>
    <t>Add guidance on Secure Connections within the Scope</t>
  </si>
  <si>
    <t>Add guidance on Secure Connections within the Scope (v1.6)</t>
  </si>
  <si>
    <t>Request to provide explanation of BRSF feature value of</t>
  </si>
  <si>
    <t>Incorrect Explanation and Message Sequence Chart of Figure 4.38</t>
  </si>
  <si>
    <t>Section number reference is missing</t>
  </si>
  <si>
    <t>Direction of ATD command is not clear in figure 4.34</t>
  </si>
  <si>
    <t>Figure 4.54 has to be modified to show Audio connection setup after AG accepts held call</t>
  </si>
  <si>
    <t>Wrong Reference to explained scenario</t>
  </si>
  <si>
    <t>Wrong Reserved bit initialized to zero</t>
  </si>
  <si>
    <t>Command mentioned for AG to setup codec Negotiation feature is not correct</t>
  </si>
  <si>
    <t>Section no reference is missing</t>
  </si>
  <si>
    <t>Wrong AT Command sent to AG during SLC establishment.</t>
  </si>
  <si>
    <t>Wrong Section Reference given to read HF Indicators enabled status</t>
  </si>
  <si>
    <t>Wrong Reference given in Transfer of Registration Status</t>
  </si>
  <si>
    <t>Handling of vendor-specific AT Commands</t>
  </si>
  <si>
    <t>AT+CHLD 1 : Is it intended only for active call or any specified call</t>
  </si>
  <si>
    <t>Existing tests modified.</t>
  </si>
  <si>
    <t>HID 1.1.1</t>
  </si>
  <si>
    <t>HID 1.1</t>
  </si>
  <si>
    <t>Rewrite and reorganization of the HID 1.0 Spec.
Required Features:
Device ID. Removal of some HID 1.0 features (SET_IDLE and GET_IDLE HID protocol requests, HID-specific Segmentation and Reassembly, HID_CONTROL requests: [NOP,  HARD_RESET, SOFT_RESET], SDP attributes: [HIDDeviceReleaseNumber, HIDSDPDisable, HIDProfileVersion]). Removal of Park and Hold.
Optional Features:
Sniff Subrating (SDP attributes HIDSSRHostMaxLatency, HIDSSRHostMinTimeout)</t>
  </si>
  <si>
    <t>Incorporate minor technical changes from 1.0B document BARB review</t>
  </si>
  <si>
    <t>Inconsistency with the declaration of HIDParserVersion in the Spec</t>
  </si>
  <si>
    <t>Formatting Error in Section 7.11.1 HIDDeviceReleaseNumber</t>
  </si>
  <si>
    <t>Boot-mode only hosts can't qualify</t>
  </si>
  <si>
    <t>Incorrect example of HID UUID for Bluetooth Profile Descriptor List</t>
  </si>
  <si>
    <t>Text should explicitly state that the minor version is reset to 0</t>
  </si>
  <si>
    <t>Incorrect hyperlink for reference, incorrect numbering in section.</t>
  </si>
  <si>
    <t>Incorrect word: asynchronously</t>
  </si>
  <si>
    <t>Section cross-reference is numbered wrong</t>
  </si>
  <si>
    <t>ESR09: 1906, 4474, 5335, 5928, 6042, 6090</t>
  </si>
  <si>
    <t>Profile UUID in BluetoothProfileDescriptorList should be 0x1124</t>
  </si>
  <si>
    <t>Human Interface Device Profile  (HID)</t>
  </si>
  <si>
    <t>Headset Profile  (HSP)</t>
  </si>
  <si>
    <t>HSP 1.2</t>
  </si>
  <si>
    <t>None. Updates for Bluetooth core spec 2.1+EDR, removal of PARK, implementation of errata, and editorial changes only</t>
  </si>
  <si>
    <t>** Erratum appears in ESR01 and is from the old Errata System and was not imported into the legacy system. There is no equivalent Erratum ID in the current system.</t>
  </si>
  <si>
    <t>2112**</t>
  </si>
  <si>
    <t>Show that in-band ringing and RING are mutually exclusive</t>
  </si>
  <si>
    <t>ICS added and modified</t>
  </si>
  <si>
    <t>Headset disconnects all open links</t>
  </si>
  <si>
    <t>ESR01: 2112**
Errata: 116, 140, 215, 221, 350, 351, 368, 446</t>
  </si>
  <si>
    <t>Incorrectly noted in the HSP 1.2  Revision History as erratum ID 114. Erratum is in Trivially Rejected state but it is listed in the Specification Version History under incorporated errata for HSP 1.2. The suggested change was not directly made but the problem that was raised was felt to have been adequately addressed in HSP 1.2.</t>
  </si>
  <si>
    <t xml:space="preserve">Insufficient description of HS initiated ACL connection.
 </t>
  </si>
  <si>
    <t>Erratum is in Trivially Rejected state but it is listed in the Specification Version History under incorporated errata for HSP 1.2. The suggested change was not directly made but the problem that was raised was felt to have been adequately addressed in HSP 1.2.</t>
  </si>
  <si>
    <t>AG Should Disconnect ACL</t>
  </si>
  <si>
    <t>Sentence ambiguity for the connection release with park mode</t>
  </si>
  <si>
    <t>It is unclear whether RING should be issued when using inband ringtone</t>
  </si>
  <si>
    <t>HS requires extra information when inband ringtone is used</t>
  </si>
  <si>
    <t>What does "connection release" mean?</t>
  </si>
  <si>
    <t>GSM 07.07 reference missing</t>
  </si>
  <si>
    <t>Message Access Profile  (MAP)</t>
  </si>
  <si>
    <t>MAP 1.1</t>
  </si>
  <si>
    <t>MAP 1.2</t>
  </si>
  <si>
    <t>MAP 1.2.1</t>
  </si>
  <si>
    <t>MAP 1.2.2</t>
  </si>
  <si>
    <t>MAP 1.3</t>
  </si>
  <si>
    <t>MAP 1.3.1</t>
  </si>
  <si>
    <t>MAP 1.4</t>
  </si>
  <si>
    <t>MAP 1.4.2</t>
  </si>
  <si>
    <t>MAP 1.4.1</t>
  </si>
  <si>
    <t>Erratum: 5151
ESR05: 3123, 3124, 3180, 3197, 3219, 3309, 3385, 3440, 3441, 3442, 3443, 3464, 3530, 3546, 3603, 3765
ESR06: 3445, 3458, 3952, 4103, 4144, 4226, 4302, 4335, 4461, 4462, 4532, 4578</t>
  </si>
  <si>
    <t>ESR06: 3445, 3458, 3952, 4103, 4144, 4226, 4302, 4335, 4461, 4462, 4532, 4578</t>
  </si>
  <si>
    <t>Required Features:
OBEX Application Enhancements (GOEP 2.0), GetMASInstanceInformation (M for MSE, otherwise O), MAP-Event-Report: Version 1.1 (M for MSE. M for MCE when Notification is supported), SDP MAPSupportedFeatures bits</t>
  </si>
  <si>
    <t>ESR09: 5590, 5925, 6097, 6221</t>
  </si>
  <si>
    <t>Required Features:
None
Optional Features:
Message Forwarding</t>
  </si>
  <si>
    <t>Required Features:
Messages-Listing Format Version 1.1, MAP-Event-Report: Version 1.2 (M for MSE, otherwise O), Message format Version 1.1 (M for MSE, otherwise O), Notification Filtering (M for MSE, otherwise O), UTC Offset Timestamp Format (M for MSE, otherwise O)
Optional Features:
Persistent Message Handles, Folder Version Counter, Participant Presence Change Notification, Participant Chat State Change Notification, PBAP Contact Cross Reference, Conversation listing, Owner status, Database Identifier, Conversation Version Counters</t>
  </si>
  <si>
    <t>(copied from MAP-Draft Errata, issue 2990)</t>
  </si>
  <si>
    <t>MNS Service with more than one MAS connection with same device (copied from MAP-draft errata, issue 2868)</t>
  </si>
  <si>
    <t>MAP 1.1 rejected original text of the following errata and submited new text in the combined E5151 Erratum</t>
  </si>
  <si>
    <t>Removed from MAP 1.1</t>
  </si>
  <si>
    <t>How does the MSE handle retries for messages sent through the MSE</t>
  </si>
  <si>
    <t>When does the MSE send MemoryFull</t>
  </si>
  <si>
    <t>SetFolder operation should allow an omitted or empty Name header during</t>
  </si>
  <si>
    <t>Change in referring figure number</t>
  </si>
  <si>
    <t>MNS only use case needs clarification</t>
  </si>
  <si>
    <t>MSETime shall be included in response packet when MaxListCount(request packet) is 0.</t>
  </si>
  <si>
    <t>Minor: vCard Property in bMsg at push</t>
  </si>
  <si>
    <t>SMS/MMS MAS instance ID shall be 0 or not ?</t>
  </si>
  <si>
    <t>Folder property in bMsg at push</t>
  </si>
  <si>
    <t>SetMessageStatus not always possible</t>
  </si>
  <si>
    <t>Ambiguous message handle values on examples</t>
  </si>
  <si>
    <t>OBEX error codes MNS partly not feasible</t>
  </si>
  <si>
    <t>ICS Change</t>
  </si>
  <si>
    <t>Recommendation for 'MemoryFull' in case of connection setup</t>
  </si>
  <si>
    <t>the example is an ill-formed xml</t>
  </si>
  <si>
    <t>Definition length of bMessage-content</t>
  </si>
  <si>
    <t>The MCE may not know the email of the MSE while sending</t>
  </si>
  <si>
    <t>bmessage-body-charset-property for SMS PDU is not specified</t>
  </si>
  <si>
    <t>vCard attributes for messages sending</t>
  </si>
  <si>
    <t>MIME To, Cc, Bcc should not be ignored.</t>
  </si>
  <si>
    <t>New Message notification for reception of partial messages</t>
  </si>
  <si>
    <t>PushMessage charset restriction should be SMS_Submit instead of SMS_Deliver</t>
  </si>
  <si>
    <t>Formatting of SMS PDU in bmessage-body-content is not clear</t>
  </si>
  <si>
    <t>Clarification Outbox folder</t>
  </si>
  <si>
    <t>Assignment of MAS Instances IDs</t>
  </si>
  <si>
    <t>UTF8 and Native may be optional for bmessage transmission</t>
  </si>
  <si>
    <t>Escaping END:MSG in bmessage-body-content</t>
  </si>
  <si>
    <t>Combined erratum that replaces E3180 Section 3.1.7, E3442 Section 3.1.3, E3765 Section 3.1.3, E4226 Section 4.1, E4462 Section 3.1.8</t>
  </si>
  <si>
    <t>ESR05 &amp; ESR06 Errata Fixes</t>
  </si>
  <si>
    <t>Name Header Missing in GetMessagesListing</t>
  </si>
  <si>
    <t>Incorrect conditional statements for the GetFolderListing response table</t>
  </si>
  <si>
    <t>Implementation of fraction request</t>
  </si>
  <si>
    <t>Location of message after undelete</t>
  </si>
  <si>
    <t>Definition of "old_folder" and "folder" attribute</t>
  </si>
  <si>
    <t>SetFolder inconsistency with regard to Name header usage when Backing up one level</t>
  </si>
  <si>
    <t>SDP Record doesn't list GoepL2CapPsm in ascending order in the Tables in Sections 7.1.1 and 7.1.2</t>
  </si>
  <si>
    <t>Clarify that PushMessage allows to push messages to any folder</t>
  </si>
  <si>
    <t>Typo in condition for SendEvent response SRM header</t>
  </si>
  <si>
    <t>Typo in condition for PushMessage response SRM header</t>
  </si>
  <si>
    <t>Typo in table6.5 StartOffset should be ListStartOffset</t>
  </si>
  <si>
    <t>Diagram Sequence for the Instance Information feature is wrong</t>
  </si>
  <si>
    <t>Inconsistent description for bmessage-originator property</t>
  </si>
  <si>
    <t>Does pushmessage require setpath?</t>
  </si>
  <si>
    <t>ESR08: 5532, 5546, 5591</t>
  </si>
  <si>
    <t>ESR09: 5925 
ESR10: 6769, 6932, 6933, 6942</t>
  </si>
  <si>
    <t>ESR11: 7439, 7766, 8312, 8849</t>
  </si>
  <si>
    <t>ESR11: 7439, 7766, 8312, 8849, and 10223</t>
  </si>
  <si>
    <t>ESR12: 9855</t>
  </si>
  <si>
    <t>Inconsistent Feature Naming</t>
  </si>
  <si>
    <t>[Note: MAP 1.4] Wrong handle in message sequence diagram</t>
  </si>
  <si>
    <t>Incorrect Profile Version Listed in section 7.1.1 and 7.1.2</t>
  </si>
  <si>
    <t>TSE 9910 also derived from this erratum. Existing tests changed.</t>
  </si>
  <si>
    <t>Object Push Profile  (OPP)</t>
  </si>
  <si>
    <t>OPP 1.2</t>
  </si>
  <si>
    <t>OPP 1.2.1</t>
  </si>
  <si>
    <t>Errata: 498
ESR04: 385 
ESR05: 940, 2447, 3085</t>
  </si>
  <si>
    <t>ESR09: 4114, 4297, 6245</t>
  </si>
  <si>
    <t>Incompatibiliy with IrOBEX Standard ver 1.2</t>
  </si>
  <si>
    <t>Value of type header in business card pull operation</t>
  </si>
  <si>
    <t>Erratum is in Rejected state but it is listed in the Specification Version History under incorporated errata for OPP 1.2.</t>
  </si>
  <si>
    <t>Character Set Support</t>
  </si>
  <si>
    <t>Unable to determine the number of objects(e.g vCard , vCal) that will be received during OPP server session</t>
  </si>
  <si>
    <t>Typo: Should be OPP instead of FTP</t>
  </si>
  <si>
    <t>Inconsistency in mandatory support for vCard 2.1</t>
  </si>
  <si>
    <t>SDP Record doesn't list GoepL2CapPsm in ascending order in the Table in Section 6.1</t>
  </si>
  <si>
    <t>Phone Book Access Profile  (PBAP)</t>
  </si>
  <si>
    <t>PBAP 1.1</t>
  </si>
  <si>
    <t>PBAP 1.1.1</t>
  </si>
  <si>
    <t>PBAP 1.2</t>
  </si>
  <si>
    <t>PBAP 1.2.3</t>
  </si>
  <si>
    <t>PBAP 1.2.1</t>
  </si>
  <si>
    <t>None. Edits for core spec revision 2.1 + EDR</t>
  </si>
  <si>
    <t>Errata: 5192
ESR06: 1824, 1830, 1932, 2014, 2030, 2061, 2067, 2729, 2730, 2798, 3687, 3923, 4460, 4479</t>
  </si>
  <si>
    <t>Required Features:
OBEX Application Enhancements (GOEP 2.0), Database Identifier (M for PSE, otherwise O), Folder Version Counters (M for PSE, otherwise O), vCard Selecting (M for PSE, otherwise O), Contact Image Default Format (M for PSE, otherwise O)
Optional Features:
Telecom/spd, Telecom/fav, Referencing Contacts, X-BT-UCI vCard Property, X-BT-UID vCard Property, Request/Return Contact Images, Enhanced Missed Calls, reset the missed Calls (PCE)</t>
  </si>
  <si>
    <t>PBAP 1.0</t>
  </si>
  <si>
    <t>Clarify expected result for retrieving current folder</t>
  </si>
  <si>
    <t>Misplaced table</t>
  </si>
  <si>
    <t>vCard extensions compliance for vCard 3.0</t>
  </si>
  <si>
    <t>Wrong logic in OBEX Authentication requirements</t>
  </si>
  <si>
    <t>Formatting problem - SDP entry for 'Supported Repositories' item</t>
  </si>
  <si>
    <t>Format call history objects</t>
  </si>
  <si>
    <t>Suggested Search Value Algorithm for PullvCardListing</t>
  </si>
  <si>
    <t>Time zone not specified</t>
  </si>
  <si>
    <t>Getting the Phone Book Size for Phone Book Downloads</t>
  </si>
  <si>
    <t>A few small typos</t>
  </si>
  <si>
    <t>Wrong OBEX GET opcode</t>
  </si>
  <si>
    <t>64-bit encryption key mandated, but violating US and UK export restrictions.64-bit encryption key mandated, but violating US and UK export restrictions.</t>
  </si>
  <si>
    <t>Inconsistency in inclusion of TEL field in the vCard</t>
  </si>
  <si>
    <t>Mandatory Status of OBEX Abort request by PCE</t>
  </si>
  <si>
    <t>ESR06 Errata Fixes</t>
  </si>
  <si>
    <t>E5192 modifies E1824, E1932, E2014, &amp; E2729 and rejects E2067 in PBAP 1.1.1 and PBAP 1.2.</t>
  </si>
  <si>
    <t>Inconsistent naming of Folder Version Counters</t>
  </si>
  <si>
    <t>The MaxListCount description is not consistant through the spec</t>
  </si>
  <si>
    <t>SDP Record doesn't list GoepL2CapPsm in ascending order in the Table in Section 7.1.2</t>
  </si>
  <si>
    <t>Incorrect value listed for the OBEX Version Number in the OBEX Connect Request/Response tables</t>
  </si>
  <si>
    <t>Incorect IrOBEX version listed in [9] in the References</t>
  </si>
  <si>
    <t>Reference to Bluetooth Generic Access Profile incorrect</t>
  </si>
  <si>
    <t>Suggestion to add GOEP Interoperability Requirements section</t>
  </si>
  <si>
    <t>Clarification regarding if Folder version counters should be reset on every BT off/phone reboot</t>
  </si>
  <si>
    <t>ESR10: 6492, 6503, 6819, 6820, 6877
ESR11: 7799, 8539</t>
  </si>
  <si>
    <t>ESR09: 6220</t>
  </si>
  <si>
    <t>RFCOMM Protocol  (RFCOMM)</t>
  </si>
  <si>
    <t>RFCOMM 1.2</t>
  </si>
  <si>
    <t>Errata: 364</t>
  </si>
  <si>
    <t>Required Features:
Send Non-Supported Command (NSC) response</t>
  </si>
  <si>
    <t>Mystery table reference</t>
  </si>
  <si>
    <t>Modifications to change "PrimaryVersionCounter" and "SecondaryVersionCounter" in sections 3.4.2.10, 3.4.2.11, &amp; 3.5.2.9 to use "PrimaryFolderVersion" and "SecondaryFolderVersion".</t>
  </si>
  <si>
    <t>Errata: 5192
ESR06: 1824, 1830, 1932, 2014, 2030, 2061, 2067, 2729, 2730, 2798, 3687, 3923, 4460, 4479
ESR07: 4856</t>
  </si>
  <si>
    <t>NewMissedCalls in PBAP 1.0/1.1 is broken</t>
  </si>
  <si>
    <t xml:space="preserve">Adds new tests. Although not referenced in the change history of PBAP 1.2 this is included as a part of the PBAPII Profile CR R02 Change Instances and the changes are in section 5.1.4.6. </t>
  </si>
  <si>
    <t>SIM Access Profile  (SAP)</t>
  </si>
  <si>
    <t>SAP 1.1</t>
  </si>
  <si>
    <t>SAP 1.1.1</t>
  </si>
  <si>
    <t>ESR09: 5659</t>
  </si>
  <si>
    <t>None. Updates for Bluetooth core spec 2.1+EDR</t>
  </si>
  <si>
    <t>ESR06: 2564</t>
  </si>
  <si>
    <t>Termination of ongoing voice calls on a phone by SAP.</t>
  </si>
  <si>
    <t>Ongoing call refers to calls in active and inactive states (eg. call setup in progress)</t>
  </si>
  <si>
    <t>SYNC 1.2</t>
  </si>
  <si>
    <t>ESR09: 260</t>
  </si>
  <si>
    <t>The IrMC server must be in the Initialization Sync mode for first time</t>
  </si>
  <si>
    <t>ESR05: 3085</t>
  </si>
  <si>
    <t>Synchronization Profile  (SYNC)</t>
  </si>
  <si>
    <t>SYNC 1.2.1</t>
  </si>
  <si>
    <t>Video Distribution Profile  (VDP)</t>
  </si>
  <si>
    <t>VDP 1.1</t>
  </si>
  <si>
    <t>ESR05: 4071</t>
  </si>
  <si>
    <t>Required Features:
None
Optional Features:
Delay Reporting</t>
  </si>
  <si>
    <t>Make placement of MSB/LSB in Vendor ID field clear</t>
  </si>
  <si>
    <t>Make incoming calls optional in both DT and GW</t>
  </si>
  <si>
    <t>2196**</t>
  </si>
  <si>
    <t>Change to the ICS</t>
  </si>
  <si>
    <t>Correction to HIDSDPDisable handling description</t>
  </si>
  <si>
    <t>Errata: 544, 747
ESR02: 542, 650, 674</t>
  </si>
  <si>
    <t>Updated as of the TCRL 2021-1 release. Prepared for TCRL 2021-1 publication.</t>
  </si>
  <si>
    <r>
      <rPr>
        <b/>
        <sz val="10"/>
        <color rgb="FF000000"/>
        <rFont val="Arial"/>
        <family val="2"/>
      </rPr>
      <t xml:space="preserve">This sheet summarizes Specification Errata and the corresponding known Test Impact at the time. It's provided for informative purposes only. </t>
    </r>
    <r>
      <rPr>
        <sz val="10"/>
        <color rgb="FF000000"/>
        <rFont val="Arial"/>
        <family val="2"/>
      </rPr>
      <t xml:space="preserve">
TSEs that are open at this time can eventually become part of updated qualification requirements in future TCRLs or conclude as rejected TSEs. At any time in the future, additional TSEs may be necessary to further handle implications of the implemented errata. </t>
    </r>
  </si>
  <si>
    <t>In order to pick up errata in a previously qualified design, it is necessary to review and implement all applicable errata that have been released from the version qualified to. For example, if AVRCP 1.6 was qualified to and AVRCP 1.6.3 is the current active specification, you have to look at the Integrated Errata in AVRCP 1.6.1, AVRCP 1.6.2, and AVRCP 1.6.3.</t>
  </si>
  <si>
    <t>Specification Status</t>
  </si>
  <si>
    <t>SPP 1.2</t>
  </si>
  <si>
    <t>None. Updates for 2.1 + EDR.</t>
  </si>
  <si>
    <t>Serial Port Profile  (SPP)</t>
  </si>
  <si>
    <t>E2170 Serial Port Profile specification clarification (imported)</t>
  </si>
  <si>
    <t>p1</t>
  </si>
  <si>
    <t>Updated as of the TCRL 2022-1 release. Added SPP sheet that was previously missing. Prepared for TCRL 2022-1 publication.</t>
  </si>
  <si>
    <t>p2</t>
  </si>
  <si>
    <t>A2DP 1.4</t>
  </si>
  <si>
    <t>Feature Additions (for X.Y version adoptions)</t>
  </si>
  <si>
    <t>Optional Features:
Addition of new Object Types for MPEG-2,4 AAC for MPEG-4 HE-AAC, HE-AACv2, and AAC-ELDv2.
Addition of support for MPEG-D DRC.
Addition of support for MPEG-D USAC.
Clarification that apart from SBC, the specification contains codec interoperability requirements and not the codecs themselves.</t>
  </si>
  <si>
    <t>Need to add a Conformance section</t>
  </si>
  <si>
    <t>Need to update Language section to latest version</t>
  </si>
  <si>
    <t>Unify use of RFA, RFD and RFU in A2DP</t>
  </si>
  <si>
    <t>Dashes need to be placed into empty table cells</t>
  </si>
  <si>
    <t>Withdrawn</t>
  </si>
  <si>
    <t>Updated as of the TCRL 2022-2 release. Updated errata links to JIRA links. Added A2DP 1.4. Updated specification states throughout. Prepared for TCRL 2022-2 publication.</t>
  </si>
  <si>
    <t>Commands (and Responses) should have each word capitalized with an underscore between</t>
  </si>
  <si>
    <t>VBR - Variable Bit Rate needs to be added to Acronyms and Abbreviations</t>
  </si>
  <si>
    <t>Change Notes into regular text</t>
  </si>
  <si>
    <t>Aligning with the updated PCLA policy</t>
  </si>
  <si>
    <t>Inconsistent terminology for Codec Type</t>
  </si>
  <si>
    <t>Suggested Editorial Changes Found During Legal Review</t>
  </si>
  <si>
    <t>Bluetooth A2DP Profile Change History</t>
  </si>
  <si>
    <t>GAVDP references in A2DP do not match up with the latest active spec</t>
  </si>
  <si>
    <t>Remove the testing section from the classic profile specs</t>
  </si>
  <si>
    <t>Add links to external references</t>
  </si>
  <si>
    <t>Removal of Appendix D - Requirements for Codecs Implementation</t>
  </si>
  <si>
    <t>Adoption of Codec Terminology</t>
  </si>
  <si>
    <t>Editorial changes to TS and ICS</t>
  </si>
  <si>
    <t>Remove "additional" requirements for Vendor Specific A2DP Codecs</t>
  </si>
  <si>
    <t>Editorial updates to the ICS and ICS references</t>
  </si>
  <si>
    <t>Move Acronyms and Abbreviations section</t>
  </si>
  <si>
    <t>Update adopted text to match current Drafting Guidelines</t>
  </si>
  <si>
    <t>E18038, E18039, E18116, E18163, E18164, E18165, E18209, E18211, E18314, E18340, E18360, E18368, E18369, E18370, E18398, E18481, E18482, E18705, E18812, E18994</t>
  </si>
  <si>
    <t>4.2.4 contains requirements on transcoding</t>
  </si>
  <si>
    <t>Removes tests and ICS. Updates the TCMT for some remaining tests.</t>
  </si>
  <si>
    <t>Integrated Errata - External to the Core (Traditional)</t>
  </si>
  <si>
    <t>Tab Color Legend</t>
  </si>
  <si>
    <t>Sheet updated due to newly integrated errata or a change in test impact or to the states of the associated test impact TSEs.</t>
  </si>
  <si>
    <t>No changes to this sheet compared to the previous publication.</t>
  </si>
  <si>
    <t>Updates made only to the D&amp;W states of the specifications, but there are no changes to integrated errata and test impact compared to the previous publication.</t>
  </si>
  <si>
    <t>Red text is used throughout to designate all updates made since the previous publication.</t>
  </si>
  <si>
    <t>p3</t>
  </si>
  <si>
    <t>Updated as of the TCRL 2023-1 release. Minor updates to this revisions sheet. Prepared for 2023-1 publication.</t>
  </si>
  <si>
    <t>Erratum is in Trivially Rejected state but it is listed in the Specification Version History under incorporated errata for HSP 1.2. The reference to GSM 07.07 is in HSP 1.2 references section.</t>
  </si>
  <si>
    <t>p4</t>
  </si>
  <si>
    <t>Updated as of the TCRL 2024-1 release. Minor updates to this revisions sheet. Prepared for 2024-1 publication.</t>
  </si>
  <si>
    <t>p5</t>
  </si>
  <si>
    <t>Updated as of the TCRL 2024-2-addition release. Includes errata for AVRCP 1.5.1, AVRCP 1.6.3. Updated headings for Jira field names and values throughout. Prepared for TCRL 2024-2-addition publication.</t>
  </si>
  <si>
    <t>Errata 13170, 15773, 15828, 18145, 18310, 18396, 23747</t>
  </si>
  <si>
    <t>Errata 10214, 13170, 13415, 15773, 15828, 18145, 18309, 18396, 18543, 18790, 23562, 23746</t>
  </si>
  <si>
    <t>1/Technical Low</t>
  </si>
  <si>
    <t>2/Technical Medium</t>
  </si>
  <si>
    <t>The command name from CT to TG is incorrect</t>
  </si>
  <si>
    <t>3/Technical High</t>
  </si>
  <si>
    <t>Update obsolete reference to deprecated specifications</t>
  </si>
  <si>
    <t>GetElementAttribute and GetItemAttribute should be replaced with GetElementAttributes and GetItemAttributes</t>
  </si>
  <si>
    <t>Update Contributors table to Acknowledgments</t>
  </si>
  <si>
    <t>SetAbsoluteVolume - actual volume level in response</t>
  </si>
  <si>
    <t>Yes - tied to spec change</t>
  </si>
  <si>
    <t xml:space="preserve">Conformance Section Errata Update </t>
  </si>
  <si>
    <t>AVRCP - A/V Remote Control Profile</t>
  </si>
  <si>
    <t>Yes - doesn't need to wait for erratum</t>
  </si>
  <si>
    <t>Affected Version(s) (From Errata System)</t>
  </si>
  <si>
    <t>1.5, 1.6.2</t>
  </si>
  <si>
    <t>1.6.2</t>
  </si>
  <si>
    <t>1.6.1</t>
  </si>
  <si>
    <t>1.0.1</t>
  </si>
  <si>
    <t>3DSP - 3D Synchronization Profile</t>
  </si>
  <si>
    <t>1.3.1</t>
  </si>
  <si>
    <t>1.3.2</t>
  </si>
  <si>
    <t>A2DP - Advanced Audio Distribution Profile</t>
  </si>
  <si>
    <t>AVCTP - A/V Control Transport Protocol</t>
  </si>
  <si>
    <t>AVDTP - A/V Distribution Transport Protocol</t>
  </si>
  <si>
    <t>BIP - Basic Imaging Profile</t>
  </si>
  <si>
    <t>CTN - Calendar Tasks and Notes Profile</t>
  </si>
  <si>
    <t>DUN - Dial-Up Networking Profile</t>
  </si>
  <si>
    <t>FTP - File Transfer Profile</t>
  </si>
  <si>
    <t>GAVDP - Generic A/V Distribution Profile</t>
  </si>
  <si>
    <t>GOEP - Generic Object Exchange Profile</t>
  </si>
  <si>
    <t>GPP - Generic PIM Profile</t>
  </si>
  <si>
    <t>HDP - Health Device Profile</t>
  </si>
  <si>
    <t>1.7.1</t>
  </si>
  <si>
    <t>HFP - Hands-Free Profile</t>
  </si>
  <si>
    <t>HID  - Human Interface Device Profile</t>
  </si>
  <si>
    <t>HSP - Headset Profile</t>
  </si>
  <si>
    <t>1.2.2</t>
  </si>
  <si>
    <t>MAP - Message Access Profile</t>
  </si>
  <si>
    <t>OPP - Object Push Profile</t>
  </si>
  <si>
    <t>1.2.1</t>
  </si>
  <si>
    <t>RFCOMM</t>
  </si>
  <si>
    <t>SAP - SIM Access Profile</t>
  </si>
  <si>
    <t>ESR05: 386</t>
  </si>
  <si>
    <t>SPP - Serial Port Profile</t>
  </si>
  <si>
    <t>SYNC - Synchronization Profile</t>
  </si>
  <si>
    <t>VDP - Video Distribution Profile</t>
  </si>
  <si>
    <t>None. Implementation of Errata only.</t>
  </si>
  <si>
    <t>Required Features:
Updates for AVRCP 1.4 (Multiple PSMs).</t>
  </si>
  <si>
    <t>None. Updates for Bluetooth 1.2 and editorial changes only.</t>
  </si>
  <si>
    <t>New test cases added.</t>
  </si>
  <si>
    <t>New test cases added. Same test impact as E2274, E2685.</t>
  </si>
  <si>
    <t>Adds new Category X tests.</t>
  </si>
  <si>
    <t>Availability of referenced trade specification documents.</t>
  </si>
  <si>
    <t>Table 6.7 incorrectly referenced instead of Table 6.9.</t>
  </si>
  <si>
    <t>ICS and TCMT changes to move requirements from A2DP to GAVDP.</t>
  </si>
  <si>
    <t>TSE was not filed. The changes were integrated without a TSE reference.</t>
  </si>
  <si>
    <t>Erratum is in Withdrawn state but it is listed in the Specification Version History under incorporated errata.</t>
  </si>
  <si>
    <t>Erratum is in Withdrawn state but it is listed in the Specification Version History under incorporated errata. The change to modify the text for the +CLIP description for how to handle "+" and other clarifications has been incorporated in the HFP 1.5 Spec in the +CLIP description in 4.33.1.</t>
  </si>
  <si>
    <t>Erratum is in Withdrawn state but it is listed in the Specification Version History under incorporated errata. The change to re-organize the text in the Audio Connection Release section and update the MSC has been incorporated in the HFP 1.5 Spec in section 4.12.</t>
  </si>
  <si>
    <t>Modifications to TP/SSM/BV-06-C test procedure and pass verdict.
PBAP 1.1.1 and PBAP 1.2 rejected original text of the following errata and submited new text in the combined E5192 Erratum.</t>
  </si>
  <si>
    <t>PBAP 1.1.1 and PBAP 1.2 rejected original text of the following errata and submited new text in the combined E5192 Erratum.</t>
  </si>
  <si>
    <t>TSE 4277 was filed for this but was rejected due to the FRD for the new feature that was expected to supercede this.</t>
  </si>
  <si>
    <t>Removed from PBAP 1.1.1 and PBAP 1.2.</t>
  </si>
  <si>
    <t>New test case added. ICS changes.</t>
  </si>
  <si>
    <t>ICS change.</t>
  </si>
  <si>
    <t>Table referenced was 5.2 but should have been 5.1.</t>
  </si>
  <si>
    <t>p6</t>
  </si>
  <si>
    <t>Updated as of the TCRL 2025-1 release. Includes errata for MAP 1.3.2, MAP 1.4.3. Prepared for TCRL 2025-1 publication.</t>
  </si>
  <si>
    <t>* TSE severity categorization began with TCRL 2015-1 around February 2015. Prior to that date, TSEs external to the Core will not have a severity.</t>
  </si>
  <si>
    <t>Affected Document (From Errata System)</t>
  </si>
  <si>
    <t>Errata Severity</t>
  </si>
  <si>
    <t>TSE Severity*</t>
  </si>
  <si>
    <t>TSE ID (s)</t>
  </si>
  <si>
    <t>MAP 1.3.2</t>
  </si>
  <si>
    <t>MAP 1.4.3</t>
  </si>
  <si>
    <t>23841, 26766, 26767, 26773</t>
  </si>
  <si>
    <t>11797, 18776, 18791, 22347, 23840</t>
  </si>
  <si>
    <t>Clarification regarding Message Listing format version 1.1 mandatory features.</t>
  </si>
  <si>
    <t>1.4.2</t>
  </si>
  <si>
    <t>External reference updates</t>
  </si>
  <si>
    <t xml:space="preserve">Conformance Section Errata </t>
  </si>
  <si>
    <t>Clarification regarding Message Listing format version 1.1 mandatory features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</si>
</sst>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mmm\-yyyy"/>
    <numFmt numFmtId="165" formatCode="dd\-mmm\-yyyy"/>
    <numFmt numFmtId="166" formatCode="yyyy\-mm\-dd;@"/>
    <numFmt numFmtId="167" formatCode="0.0"/>
  </numFmts>
  <fonts count="20" x14ac:knownFonts="1">
    <font>
      <sz val="10"/>
      <color rgb="FF000000"/>
      <name val="Arial"/>
    </font>
    <font>
      <sz val="11"/>
      <color theme="1"/>
      <name val="Calibri"/>
      <family val="2"/>
      <scheme val="minor"/>
    </font>
    <font>
      <sz val="10"/>
      <name val="Arial"/>
      <family val="2"/>
    </font>
    <font>
      <sz val="10"/>
      <color indexed="8"/>
      <name val="Arial"/>
      <family val="2"/>
    </font>
    <font>
      <sz val="10"/>
      <color rgb="FF000000"/>
      <name val="Arial"/>
      <family val="2"/>
    </font>
    <font>
      <b/>
      <sz val="10"/>
      <color rgb="FF000000"/>
      <name val="Arial"/>
      <family val="2"/>
    </font>
    <font>
      <b/>
      <sz val="10"/>
      <name val="Arial"/>
      <family val="2"/>
    </font>
    <font>
      <u/>
      <sz val="10"/>
      <color theme="10"/>
      <name val="Arial"/>
      <family val="2"/>
    </font>
    <font>
      <sz val="10"/>
      <color theme="1"/>
      <name val="Arial"/>
      <family val="2"/>
    </font>
    <font>
      <u/>
      <sz val="11"/>
      <color theme="10"/>
      <name val="Calibri"/>
      <family val="2"/>
      <scheme val="minor"/>
    </font>
    <font>
      <b/>
      <sz val="14"/>
      <color theme="1"/>
      <name val="Arial"/>
      <family val="2"/>
    </font>
    <font>
      <sz val="14"/>
      <color theme="1"/>
      <name val="Arial"/>
      <family val="2"/>
    </font>
    <font>
      <b/>
      <sz val="10"/>
      <color theme="1"/>
      <name val="Arial"/>
      <family val="2"/>
    </font>
    <font>
      <b/>
      <sz val="16"/>
      <color rgb="FF000000"/>
      <name val="Arial"/>
      <family val="2"/>
    </font>
    <font>
      <sz val="11"/>
      <color theme="1"/>
      <name val="Arial"/>
      <family val="2"/>
    </font>
    <font>
      <sz val="10"/>
      <color rgb="FFFF0000"/>
      <name val="Arial"/>
      <family val="2"/>
    </font>
    <font>
      <b/>
      <sz val="18"/>
      <name val="Arial"/>
      <family val="2"/>
    </font>
    <font>
      <b/>
      <sz val="12"/>
      <color rgb="FFFF0000"/>
      <name val="Arial"/>
      <family val="2"/>
    </font>
    <font>
      <sz val="8"/>
      <name val="Arial"/>
      <family val="2"/>
    </font>
    <font>
      <sz val="11"/>
      <name val="Arial"/>
      <family val="2"/>
    </font>
  </fonts>
  <fills count="13">
    <fill>
      <patternFill patternType="none"/>
    </fill>
    <fill>
      <patternFill patternType="gray125"/>
    </fill>
    <fill>
      <patternFill patternType="solid">
        <fgColor indexed="9"/>
        <bgColor indexed="24"/>
      </patternFill>
    </fill>
    <fill>
      <patternFill patternType="solid">
        <fgColor indexed="22"/>
        <bgColor indexed="24"/>
      </patternFill>
    </fill>
    <fill>
      <patternFill patternType="solid">
        <fgColor theme="2"/>
        <bgColor indexed="64"/>
      </patternFill>
    </fill>
    <fill>
      <patternFill patternType="solid">
        <fgColor theme="0"/>
        <bgColor indexed="64"/>
      </patternFill>
    </fill>
    <fill>
      <patternFill patternType="solid">
        <fgColor indexed="22"/>
        <bgColor indexed="31"/>
      </patternFill>
    </fill>
    <fill>
      <patternFill patternType="solid">
        <fgColor theme="0" tint="-0.249977111117893"/>
        <bgColor indexed="24"/>
      </patternFill>
    </fill>
    <fill>
      <patternFill patternType="solid">
        <fgColor theme="0"/>
        <bgColor indexed="24"/>
      </patternFill>
    </fill>
    <fill>
      <patternFill patternType="solid">
        <fgColor theme="0" tint="-0.249977111117893"/>
        <bgColor indexed="64"/>
      </patternFill>
    </fill>
    <fill>
      <patternFill patternType="solid">
        <fgColor rgb="FFC0C0C0"/>
        <bgColor indexed="24"/>
      </patternFill>
    </fill>
    <fill>
      <patternFill patternType="solid">
        <fgColor rgb="FFB1A0C7"/>
        <bgColor indexed="64"/>
      </patternFill>
    </fill>
    <fill>
      <patternFill patternType="solid">
        <fgColor rgb="FFFFD85B"/>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style="medium">
        <color indexed="64"/>
      </right>
      <top/>
      <bottom style="medium">
        <color indexed="64"/>
      </bottom>
      <diagonal/>
    </border>
    <border>
      <left style="medium">
        <color indexed="64"/>
      </left>
      <right style="thin">
        <color indexed="8"/>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indexed="64"/>
      </left>
      <right style="medium">
        <color indexed="64"/>
      </right>
      <top style="thin">
        <color indexed="64"/>
      </top>
      <bottom/>
      <diagonal/>
    </border>
    <border>
      <left style="medium">
        <color auto="1"/>
      </left>
      <right style="medium">
        <color auto="1"/>
      </right>
      <top style="thin">
        <color auto="1"/>
      </top>
      <bottom style="medium">
        <color auto="1"/>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7" fillId="0" borderId="0" applyNumberFormat="0" applyFill="0" applyBorder="0" applyAlignment="0" applyProtection="0"/>
    <xf numFmtId="0" fontId="1" fillId="0" borderId="0"/>
    <xf numFmtId="0" fontId="9" fillId="0" borderId="0" applyNumberFormat="0" applyFill="0" applyBorder="0" applyAlignment="0" applyProtection="0"/>
    <xf numFmtId="0" fontId="2" fillId="0" borderId="0"/>
  </cellStyleXfs>
  <cellXfs count="227">
    <xf numFmtId="0" fontId="0" fillId="0" borderId="0" xfId="0"/>
    <xf numFmtId="0" fontId="0" fillId="0" borderId="0" xfId="0" applyAlignment="1">
      <alignment horizontal="left"/>
    </xf>
    <xf numFmtId="0" fontId="6" fillId="0" borderId="0" xfId="0" applyFont="1" applyAlignment="1">
      <alignment horizontal="center"/>
    </xf>
    <xf numFmtId="0" fontId="4" fillId="0" borderId="0" xfId="0" applyFont="1"/>
    <xf numFmtId="0" fontId="0" fillId="0" borderId="0" xfId="0" applyAlignment="1">
      <alignment horizontal="center"/>
    </xf>
    <xf numFmtId="0" fontId="1" fillId="0" borderId="0" xfId="2"/>
    <xf numFmtId="0" fontId="4" fillId="5" borderId="7" xfId="2" applyFont="1" applyFill="1" applyBorder="1"/>
    <xf numFmtId="0" fontId="8" fillId="0" borderId="0" xfId="4" applyFont="1"/>
    <xf numFmtId="0" fontId="10" fillId="0" borderId="0" xfId="4" applyFont="1"/>
    <xf numFmtId="0" fontId="11" fillId="0" borderId="0" xfId="4" applyFont="1"/>
    <xf numFmtId="0" fontId="12" fillId="0" borderId="0" xfId="4" applyFont="1"/>
    <xf numFmtId="49" fontId="10" fillId="0" borderId="0" xfId="0" applyNumberFormat="1" applyFont="1" applyAlignment="1">
      <alignment horizontal="left" vertical="top"/>
    </xf>
    <xf numFmtId="166" fontId="8" fillId="0" borderId="0" xfId="0" applyNumberFormat="1" applyFont="1" applyAlignment="1">
      <alignment vertical="top"/>
    </xf>
    <xf numFmtId="0" fontId="8" fillId="0" borderId="0" xfId="0" applyFont="1" applyAlignment="1">
      <alignment horizontal="left" vertical="top" wrapText="1"/>
    </xf>
    <xf numFmtId="0" fontId="8" fillId="0" borderId="0" xfId="0" applyFont="1" applyAlignment="1">
      <alignment vertical="top"/>
    </xf>
    <xf numFmtId="0" fontId="8" fillId="0" borderId="0" xfId="0" applyFont="1"/>
    <xf numFmtId="166" fontId="8" fillId="0" borderId="0" xfId="0" applyNumberFormat="1" applyFont="1"/>
    <xf numFmtId="0" fontId="8" fillId="0" borderId="0" xfId="0" applyFont="1" applyAlignment="1">
      <alignment wrapText="1"/>
    </xf>
    <xf numFmtId="49" fontId="12" fillId="6" borderId="8" xfId="0" applyNumberFormat="1" applyFont="1" applyFill="1" applyBorder="1" applyAlignment="1">
      <alignment horizontal="left" vertical="top"/>
    </xf>
    <xf numFmtId="0" fontId="13" fillId="0" borderId="0" xfId="0" applyFont="1" applyAlignment="1">
      <alignment horizontal="left"/>
    </xf>
    <xf numFmtId="0" fontId="0" fillId="0" borderId="0" xfId="0" applyAlignment="1">
      <alignment horizontal="left" vertical="top"/>
    </xf>
    <xf numFmtId="0" fontId="0" fillId="0" borderId="0" xfId="0" applyAlignment="1">
      <alignment vertical="top"/>
    </xf>
    <xf numFmtId="0" fontId="0" fillId="0" borderId="0" xfId="0" applyAlignment="1">
      <alignment horizontal="center" vertical="top"/>
    </xf>
    <xf numFmtId="0" fontId="5" fillId="0" borderId="4" xfId="0" applyFont="1" applyBorder="1" applyAlignment="1">
      <alignment horizontal="left" wrapText="1"/>
    </xf>
    <xf numFmtId="164" fontId="4" fillId="5" borderId="5" xfId="2" applyNumberFormat="1" applyFont="1" applyFill="1" applyBorder="1" applyAlignment="1">
      <alignment horizontal="left" wrapText="1"/>
    </xf>
    <xf numFmtId="0" fontId="4" fillId="0" borderId="0" xfId="0" applyFont="1" applyAlignment="1">
      <alignment horizontal="left"/>
    </xf>
    <xf numFmtId="164" fontId="4" fillId="0" borderId="5" xfId="2" applyNumberFormat="1" applyFont="1" applyBorder="1" applyAlignment="1">
      <alignment horizontal="left" wrapText="1"/>
    </xf>
    <xf numFmtId="0" fontId="5" fillId="0" borderId="0" xfId="0" applyFont="1" applyAlignment="1">
      <alignment horizontal="left" wrapText="1"/>
    </xf>
    <xf numFmtId="0" fontId="4" fillId="0" borderId="0" xfId="0" applyFont="1" applyAlignment="1">
      <alignment horizontal="center"/>
    </xf>
    <xf numFmtId="0" fontId="14" fillId="0" borderId="0" xfId="2" applyFont="1"/>
    <xf numFmtId="0" fontId="12" fillId="4" borderId="6" xfId="2" applyFont="1" applyFill="1" applyBorder="1" applyAlignment="1">
      <alignment horizontal="left" wrapText="1"/>
    </xf>
    <xf numFmtId="0" fontId="12" fillId="4" borderId="3" xfId="2" applyFont="1" applyFill="1" applyBorder="1" applyAlignment="1">
      <alignment horizontal="left" wrapText="1"/>
    </xf>
    <xf numFmtId="0" fontId="6" fillId="3" borderId="6" xfId="0" applyFont="1" applyFill="1" applyBorder="1" applyAlignment="1">
      <alignment horizontal="left" vertical="center" wrapText="1"/>
    </xf>
    <xf numFmtId="0" fontId="6" fillId="3" borderId="6" xfId="0" applyFont="1" applyFill="1" applyBorder="1" applyAlignment="1">
      <alignment horizontal="center" vertical="center" wrapText="1"/>
    </xf>
    <xf numFmtId="0" fontId="6" fillId="3" borderId="6" xfId="0" applyFont="1" applyFill="1" applyBorder="1" applyAlignment="1">
      <alignment horizontal="center" vertical="center"/>
    </xf>
    <xf numFmtId="0" fontId="7" fillId="2" borderId="6" xfId="1" applyFill="1" applyBorder="1" applyAlignment="1">
      <alignment horizontal="left" vertical="top" wrapText="1"/>
    </xf>
    <xf numFmtId="0" fontId="3" fillId="2" borderId="6" xfId="0" applyFont="1" applyFill="1" applyBorder="1" applyAlignment="1">
      <alignment horizontal="left" vertical="top" wrapText="1"/>
    </xf>
    <xf numFmtId="0" fontId="7" fillId="3" borderId="6" xfId="1" applyFill="1" applyBorder="1" applyAlignment="1">
      <alignment horizontal="left" vertical="top" wrapText="1"/>
    </xf>
    <xf numFmtId="0" fontId="3" fillId="3" borderId="6" xfId="0" applyFont="1" applyFill="1" applyBorder="1" applyAlignment="1">
      <alignment horizontal="left" vertical="top" wrapText="1"/>
    </xf>
    <xf numFmtId="0" fontId="6" fillId="3" borderId="6" xfId="0" applyFont="1" applyFill="1" applyBorder="1" applyAlignment="1">
      <alignment horizontal="center" vertical="top"/>
    </xf>
    <xf numFmtId="0" fontId="4" fillId="0" borderId="0" xfId="0" applyFont="1" applyAlignment="1">
      <alignment horizontal="left" vertical="top"/>
    </xf>
    <xf numFmtId="0" fontId="4" fillId="0" borderId="0" xfId="0" applyFont="1" applyAlignment="1">
      <alignment vertical="top"/>
    </xf>
    <xf numFmtId="0" fontId="4" fillId="0" borderId="0" xfId="0" applyFont="1" applyAlignment="1">
      <alignment horizontal="center" vertical="top"/>
    </xf>
    <xf numFmtId="164" fontId="8" fillId="5" borderId="5" xfId="2" applyNumberFormat="1" applyFont="1" applyFill="1" applyBorder="1" applyAlignment="1">
      <alignment horizontal="left" wrapText="1"/>
    </xf>
    <xf numFmtId="0" fontId="8" fillId="5" borderId="7" xfId="2" applyFont="1" applyFill="1" applyBorder="1"/>
    <xf numFmtId="0" fontId="7" fillId="7" borderId="6" xfId="1" applyFill="1" applyBorder="1" applyAlignment="1">
      <alignment horizontal="left" vertical="top" wrapText="1"/>
    </xf>
    <xf numFmtId="0" fontId="2" fillId="3" borderId="6" xfId="0" applyFont="1" applyFill="1" applyBorder="1" applyAlignment="1">
      <alignment horizontal="center" vertical="top" wrapText="1"/>
    </xf>
    <xf numFmtId="0" fontId="3" fillId="7" borderId="6" xfId="0" applyFont="1" applyFill="1" applyBorder="1" applyAlignment="1">
      <alignment horizontal="left" vertical="top" wrapText="1"/>
    </xf>
    <xf numFmtId="0" fontId="7" fillId="3" borderId="6" xfId="1" applyFill="1" applyBorder="1" applyAlignment="1">
      <alignment horizontal="left" vertical="top"/>
    </xf>
    <xf numFmtId="0" fontId="7" fillId="2" borderId="6" xfId="1" applyFill="1" applyBorder="1" applyAlignment="1">
      <alignment horizontal="left" vertical="top"/>
    </xf>
    <xf numFmtId="0" fontId="7" fillId="2" borderId="6" xfId="0" applyFont="1" applyFill="1" applyBorder="1" applyAlignment="1">
      <alignment horizontal="left" vertical="top" wrapText="1"/>
    </xf>
    <xf numFmtId="0" fontId="7" fillId="0" borderId="6" xfId="1" applyFill="1" applyBorder="1" applyAlignment="1">
      <alignment horizontal="left" vertical="top"/>
    </xf>
    <xf numFmtId="0" fontId="3" fillId="0" borderId="6" xfId="0" applyFont="1" applyBorder="1" applyAlignment="1">
      <alignment horizontal="left" vertical="top" wrapText="1"/>
    </xf>
    <xf numFmtId="0" fontId="7" fillId="7" borderId="6" xfId="1" applyFill="1" applyBorder="1" applyAlignment="1">
      <alignment horizontal="left" vertical="top"/>
    </xf>
    <xf numFmtId="0" fontId="2" fillId="3" borderId="6" xfId="0" applyFont="1" applyFill="1" applyBorder="1" applyAlignment="1">
      <alignment horizontal="left" vertical="top" wrapText="1"/>
    </xf>
    <xf numFmtId="0" fontId="3" fillId="8" borderId="6" xfId="0" applyFont="1" applyFill="1" applyBorder="1" applyAlignment="1">
      <alignment horizontal="left" vertical="top" wrapText="1"/>
    </xf>
    <xf numFmtId="0" fontId="2" fillId="8" borderId="6" xfId="0" applyFont="1" applyFill="1" applyBorder="1" applyAlignment="1">
      <alignment horizontal="center" vertical="top" wrapText="1"/>
    </xf>
    <xf numFmtId="0" fontId="3" fillId="2" borderId="6" xfId="0" quotePrefix="1" applyFont="1" applyFill="1" applyBorder="1" applyAlignment="1">
      <alignment horizontal="left" vertical="top" wrapText="1"/>
    </xf>
    <xf numFmtId="0" fontId="3" fillId="5" borderId="6" xfId="0" applyFont="1" applyFill="1" applyBorder="1" applyAlignment="1">
      <alignment horizontal="left" vertical="top" wrapText="1"/>
    </xf>
    <xf numFmtId="0" fontId="7" fillId="8" borderId="6" xfId="1" applyFill="1" applyBorder="1" applyAlignment="1">
      <alignment horizontal="left" vertical="top"/>
    </xf>
    <xf numFmtId="0" fontId="7" fillId="5" borderId="6" xfId="1" applyFill="1" applyBorder="1" applyAlignment="1">
      <alignment horizontal="left" vertical="top"/>
    </xf>
    <xf numFmtId="0" fontId="7" fillId="8" borderId="6" xfId="1" applyFill="1" applyBorder="1" applyAlignment="1">
      <alignment horizontal="left" vertical="top" wrapText="1"/>
    </xf>
    <xf numFmtId="0" fontId="7" fillId="9" borderId="6" xfId="1" applyFill="1" applyBorder="1" applyAlignment="1">
      <alignment horizontal="left" vertical="top" wrapText="1"/>
    </xf>
    <xf numFmtId="0" fontId="3" fillId="9" borderId="6" xfId="0" applyFont="1" applyFill="1" applyBorder="1" applyAlignment="1">
      <alignment horizontal="left" vertical="top" wrapText="1"/>
    </xf>
    <xf numFmtId="164" fontId="4" fillId="5" borderId="5" xfId="2" applyNumberFormat="1" applyFont="1" applyFill="1" applyBorder="1" applyAlignment="1">
      <alignment horizontal="left" vertical="top" wrapText="1"/>
    </xf>
    <xf numFmtId="0" fontId="1" fillId="0" borderId="0" xfId="2" applyAlignment="1">
      <alignment vertical="top"/>
    </xf>
    <xf numFmtId="164" fontId="8" fillId="5" borderId="5" xfId="2" applyNumberFormat="1" applyFont="1" applyFill="1" applyBorder="1" applyAlignment="1">
      <alignment horizontal="left" vertical="top" wrapText="1"/>
    </xf>
    <xf numFmtId="0" fontId="8" fillId="5" borderId="7" xfId="2" applyFont="1" applyFill="1" applyBorder="1" applyAlignment="1">
      <alignment vertical="top"/>
    </xf>
    <xf numFmtId="0" fontId="4" fillId="5" borderId="7" xfId="2" applyFont="1" applyFill="1" applyBorder="1" applyAlignment="1">
      <alignment vertical="top"/>
    </xf>
    <xf numFmtId="164" fontId="4" fillId="0" borderId="5" xfId="2" applyNumberFormat="1" applyFont="1" applyBorder="1" applyAlignment="1">
      <alignment horizontal="left" vertical="top" wrapText="1"/>
    </xf>
    <xf numFmtId="49" fontId="8" fillId="0" borderId="9" xfId="0" applyNumberFormat="1" applyFont="1" applyBorder="1" applyAlignment="1">
      <alignment horizontal="left"/>
    </xf>
    <xf numFmtId="0" fontId="8" fillId="0" borderId="10" xfId="0" applyFont="1" applyBorder="1" applyAlignment="1">
      <alignment horizontal="left" wrapText="1"/>
    </xf>
    <xf numFmtId="0" fontId="8" fillId="0" borderId="9" xfId="0" applyFont="1" applyBorder="1" applyAlignment="1">
      <alignment horizontal="left"/>
    </xf>
    <xf numFmtId="0" fontId="15" fillId="7" borderId="6" xfId="0" applyFont="1" applyFill="1" applyBorder="1" applyAlignment="1">
      <alignment horizontal="left" vertical="top" wrapText="1"/>
    </xf>
    <xf numFmtId="0" fontId="15" fillId="2" borderId="6" xfId="0" applyFont="1" applyFill="1" applyBorder="1" applyAlignment="1">
      <alignment horizontal="left" vertical="top" wrapText="1"/>
    </xf>
    <xf numFmtId="0" fontId="2" fillId="3" borderId="6" xfId="1" applyFont="1" applyFill="1" applyBorder="1" applyAlignment="1">
      <alignment horizontal="left" vertical="top" wrapText="1"/>
    </xf>
    <xf numFmtId="0" fontId="7" fillId="10" borderId="6" xfId="1" applyFill="1" applyBorder="1" applyAlignment="1">
      <alignment horizontal="left" vertical="top" wrapText="1"/>
    </xf>
    <xf numFmtId="165" fontId="15" fillId="0" borderId="0" xfId="4" applyNumberFormat="1" applyFont="1" applyAlignment="1">
      <alignment horizontal="left"/>
    </xf>
    <xf numFmtId="0" fontId="8" fillId="0" borderId="0" xfId="4" applyFont="1" applyAlignment="1">
      <alignment horizontal="left" wrapText="1"/>
    </xf>
    <xf numFmtId="0" fontId="16" fillId="0" borderId="0" xfId="4" applyFont="1"/>
    <xf numFmtId="0" fontId="6" fillId="0" borderId="11" xfId="0" applyFont="1" applyBorder="1"/>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11" borderId="13" xfId="1" applyFill="1" applyBorder="1" applyAlignment="1" applyProtection="1"/>
    <xf numFmtId="0" fontId="0" fillId="0" borderId="17" xfId="0" applyBorder="1"/>
    <xf numFmtId="0" fontId="0" fillId="12" borderId="21" xfId="0" applyFill="1" applyBorder="1"/>
    <xf numFmtId="0" fontId="17" fillId="0" borderId="0" xfId="0" applyFont="1" applyAlignment="1">
      <alignment vertical="center"/>
    </xf>
    <xf numFmtId="0" fontId="2" fillId="0" borderId="9" xfId="0" applyFont="1" applyBorder="1" applyAlignment="1">
      <alignment horizontal="left"/>
    </xf>
    <xf numFmtId="0" fontId="2" fillId="0" borderId="10" xfId="0" applyFont="1" applyBorder="1" applyAlignment="1">
      <alignment horizontal="left" wrapText="1"/>
    </xf>
    <xf numFmtId="0" fontId="15" fillId="0" borderId="25" xfId="0" applyFont="1" applyBorder="1" applyAlignment="1">
      <alignment horizontal="left" vertical="top" wrapText="1"/>
    </xf>
    <xf numFmtId="164" fontId="2" fillId="5" borderId="5" xfId="2" applyNumberFormat="1" applyFont="1" applyFill="1" applyBorder="1" applyAlignment="1">
      <alignment horizontal="left" vertical="top" wrapText="1"/>
    </xf>
    <xf numFmtId="0" fontId="2" fillId="7" borderId="6" xfId="0" applyFont="1" applyFill="1" applyBorder="1" applyAlignment="1">
      <alignment horizontal="left" vertical="top" wrapText="1"/>
    </xf>
    <xf numFmtId="0" fontId="2" fillId="2" borderId="6" xfId="0" applyFont="1" applyFill="1" applyBorder="1" applyAlignment="1">
      <alignment horizontal="left" vertical="top" wrapText="1"/>
    </xf>
    <xf numFmtId="164" fontId="2" fillId="5" borderId="5" xfId="2" applyNumberFormat="1" applyFont="1" applyFill="1" applyBorder="1" applyAlignment="1">
      <alignment horizontal="left" wrapText="1"/>
    </xf>
    <xf numFmtId="0" fontId="2" fillId="5" borderId="7" xfId="2" applyFont="1" applyFill="1" applyBorder="1"/>
    <xf numFmtId="164" fontId="2" fillId="0" borderId="5" xfId="2" applyNumberFormat="1" applyFont="1" applyBorder="1" applyAlignment="1">
      <alignment horizontal="left" vertical="top" wrapText="1"/>
    </xf>
    <xf numFmtId="0" fontId="2" fillId="0" borderId="7" xfId="2" applyFont="1" applyBorder="1" applyAlignment="1">
      <alignment vertical="top"/>
    </xf>
    <xf numFmtId="49" fontId="15" fillId="0" borderId="26" xfId="0" applyNumberFormat="1" applyFont="1" applyBorder="1"/>
    <xf numFmtId="166" fontId="12" fillId="6" borderId="27" xfId="0" applyNumberFormat="1" applyFont="1" applyFill="1" applyBorder="1" applyAlignment="1">
      <alignment horizontal="left" vertical="top"/>
    </xf>
    <xf numFmtId="166" fontId="8" fillId="0" borderId="18" xfId="0" applyNumberFormat="1" applyFont="1" applyBorder="1" applyAlignment="1">
      <alignment horizontal="left"/>
    </xf>
    <xf numFmtId="166" fontId="2" fillId="0" borderId="18" xfId="0" applyNumberFormat="1" applyFont="1" applyBorder="1" applyAlignment="1">
      <alignment horizontal="left"/>
    </xf>
    <xf numFmtId="0" fontId="12" fillId="6" borderId="28" xfId="0" applyFont="1" applyFill="1" applyBorder="1" applyAlignment="1">
      <alignment horizontal="left" vertical="top" wrapText="1"/>
    </xf>
    <xf numFmtId="0" fontId="8" fillId="0" borderId="0" xfId="0" applyFont="1" applyAlignment="1">
      <alignment horizontal="left" wrapText="1"/>
    </xf>
    <xf numFmtId="0" fontId="2" fillId="0" borderId="0" xfId="0" applyFont="1" applyAlignment="1">
      <alignment horizontal="left" wrapText="1"/>
    </xf>
    <xf numFmtId="0" fontId="15" fillId="0" borderId="0" xfId="0" applyFont="1" applyAlignment="1">
      <alignment horizontal="left" vertical="top" wrapText="1"/>
    </xf>
    <xf numFmtId="0" fontId="12" fillId="0" borderId="0" xfId="0" applyFont="1" applyAlignment="1">
      <alignment horizontal="left" vertical="top" wrapText="1"/>
    </xf>
    <xf numFmtId="0" fontId="2" fillId="0" borderId="29" xfId="0" applyFont="1" applyBorder="1" applyAlignment="1">
      <alignment horizontal="left"/>
    </xf>
    <xf numFmtId="166" fontId="2" fillId="0" borderId="30" xfId="0" applyNumberFormat="1" applyFont="1" applyBorder="1" applyAlignment="1">
      <alignment horizontal="left"/>
    </xf>
    <xf numFmtId="0" fontId="2" fillId="0" borderId="31" xfId="0" applyFont="1" applyBorder="1" applyAlignment="1">
      <alignment horizontal="left" wrapText="1"/>
    </xf>
    <xf numFmtId="0" fontId="15" fillId="3" borderId="6" xfId="0" applyFont="1" applyFill="1" applyBorder="1" applyAlignment="1">
      <alignment horizontal="left" vertical="top" wrapText="1"/>
    </xf>
    <xf numFmtId="0" fontId="15" fillId="7" borderId="6" xfId="0" applyFont="1" applyFill="1" applyBorder="1" applyAlignment="1">
      <alignment horizontal="center" vertical="top" wrapText="1"/>
    </xf>
    <xf numFmtId="0" fontId="2" fillId="7" borderId="6" xfId="0" applyFont="1" applyFill="1" applyBorder="1" applyAlignment="1">
      <alignment horizontal="center" vertical="top" wrapText="1"/>
    </xf>
    <xf numFmtId="0" fontId="15" fillId="2" borderId="6" xfId="0" applyFont="1" applyFill="1" applyBorder="1" applyAlignment="1">
      <alignment horizontal="center" vertical="top" wrapText="1"/>
    </xf>
    <xf numFmtId="0" fontId="15" fillId="0" borderId="32" xfId="0" applyFont="1" applyBorder="1" applyAlignment="1">
      <alignment horizontal="left" vertical="top" wrapText="1"/>
    </xf>
    <xf numFmtId="0" fontId="2" fillId="3" borderId="32" xfId="0" applyFont="1" applyFill="1" applyBorder="1" applyAlignment="1">
      <alignment horizontal="left" vertical="top" wrapText="1"/>
    </xf>
    <xf numFmtId="0" fontId="2" fillId="0" borderId="32" xfId="0" applyFont="1" applyBorder="1" applyAlignment="1">
      <alignment horizontal="left" vertical="top" wrapText="1"/>
    </xf>
    <xf numFmtId="0" fontId="2" fillId="9" borderId="32" xfId="0" applyFont="1" applyFill="1" applyBorder="1" applyAlignment="1">
      <alignment horizontal="left" vertical="top" wrapText="1"/>
    </xf>
    <xf numFmtId="0" fontId="2" fillId="2" borderId="6" xfId="0" applyFont="1" applyFill="1" applyBorder="1" applyAlignment="1">
      <alignment horizontal="center" vertical="top" wrapText="1"/>
    </xf>
    <xf numFmtId="0" fontId="2" fillId="3" borderId="32" xfId="0" applyFont="1" applyFill="1" applyBorder="1" applyAlignment="1">
      <alignment horizontal="left" vertical="top"/>
    </xf>
    <xf numFmtId="0" fontId="15" fillId="3" borderId="32" xfId="0" applyFont="1" applyFill="1" applyBorder="1" applyAlignment="1">
      <alignment horizontal="center" vertical="top" wrapText="1"/>
    </xf>
    <xf numFmtId="0" fontId="14" fillId="0" borderId="33" xfId="2" applyFont="1" applyBorder="1"/>
    <xf numFmtId="0" fontId="14" fillId="0" borderId="0" xfId="2" applyFont="1" applyAlignment="1">
      <alignment horizontal="center"/>
    </xf>
    <xf numFmtId="167" fontId="3" fillId="2" borderId="6" xfId="0" applyNumberFormat="1" applyFont="1" applyFill="1" applyBorder="1" applyAlignment="1">
      <alignment horizontal="left" vertical="top" wrapText="1"/>
    </xf>
    <xf numFmtId="167" fontId="3" fillId="3" borderId="6" xfId="0" applyNumberFormat="1" applyFont="1" applyFill="1" applyBorder="1" applyAlignment="1">
      <alignment horizontal="left" vertical="top" wrapText="1"/>
    </xf>
    <xf numFmtId="167" fontId="3" fillId="5" borderId="6" xfId="0" applyNumberFormat="1" applyFont="1" applyFill="1" applyBorder="1" applyAlignment="1">
      <alignment horizontal="left" vertical="top" wrapText="1"/>
    </xf>
    <xf numFmtId="167" fontId="3" fillId="7" borderId="6" xfId="0" applyNumberFormat="1" applyFont="1" applyFill="1" applyBorder="1" applyAlignment="1">
      <alignment horizontal="left" vertical="top" wrapText="1"/>
    </xf>
    <xf numFmtId="166" fontId="15" fillId="0" borderId="26" xfId="0" applyNumberFormat="1" applyFont="1" applyBorder="1" applyAlignment="1">
      <alignment horizontal="left"/>
    </xf>
    <xf numFmtId="0" fontId="7" fillId="2" borderId="6" xfId="1" applyFill="1" applyBorder="1" applyAlignment="1">
      <alignment horizontal="center" vertical="top" wrapText="1"/>
    </xf>
    <xf numFmtId="0" fontId="7" fillId="7" borderId="6" xfId="1" applyFill="1" applyBorder="1" applyAlignment="1">
      <alignment horizontal="center" vertical="top" wrapText="1"/>
    </xf>
    <xf numFmtId="0" fontId="3" fillId="2" borderId="6" xfId="0" applyFont="1" applyFill="1" applyBorder="1" applyAlignment="1">
      <alignment horizontal="center" vertical="top" wrapText="1"/>
    </xf>
    <xf numFmtId="49" fontId="2" fillId="0" borderId="29" xfId="0" applyNumberFormat="1" applyFont="1" applyBorder="1" applyAlignment="1">
      <alignment horizontal="left"/>
    </xf>
    <xf numFmtId="0" fontId="2" fillId="0" borderId="0" xfId="0" applyFont="1" applyAlignment="1">
      <alignment horizontal="left"/>
    </xf>
    <xf numFmtId="0" fontId="6" fillId="0" borderId="4" xfId="0" applyFont="1" applyBorder="1" applyAlignment="1">
      <alignment horizontal="left" wrapText="1"/>
    </xf>
    <xf numFmtId="0" fontId="6" fillId="0" borderId="0" xfId="0" applyFont="1" applyAlignment="1">
      <alignment horizontal="left" wrapText="1"/>
    </xf>
    <xf numFmtId="0" fontId="2" fillId="0" borderId="0" xfId="0" applyFont="1"/>
    <xf numFmtId="0" fontId="2" fillId="0" borderId="0" xfId="0" applyFont="1" applyAlignment="1">
      <alignment horizontal="center"/>
    </xf>
    <xf numFmtId="0" fontId="19" fillId="0" borderId="0" xfId="2" applyFont="1"/>
    <xf numFmtId="164" fontId="2" fillId="5" borderId="4" xfId="2" applyNumberFormat="1" applyFont="1" applyFill="1" applyBorder="1" applyAlignment="1">
      <alignment horizontal="left" wrapText="1"/>
    </xf>
    <xf numFmtId="167" fontId="2" fillId="2" borderId="6" xfId="0" applyNumberFormat="1" applyFont="1" applyFill="1" applyBorder="1" applyAlignment="1">
      <alignment horizontal="left" vertical="top" wrapText="1"/>
    </xf>
    <xf numFmtId="167" fontId="2" fillId="7" borderId="6" xfId="0" applyNumberFormat="1" applyFont="1" applyFill="1" applyBorder="1" applyAlignment="1">
      <alignment horizontal="left" vertical="top" wrapText="1"/>
    </xf>
    <xf numFmtId="0" fontId="2" fillId="3" borderId="32" xfId="0" applyFont="1" applyFill="1" applyBorder="1" applyAlignment="1">
      <alignment horizontal="center" vertical="top" wrapText="1"/>
    </xf>
    <xf numFmtId="0" fontId="2" fillId="0" borderId="6" xfId="0" applyFont="1" applyBorder="1" applyAlignment="1">
      <alignment horizontal="left" vertical="top" wrapText="1"/>
    </xf>
    <xf numFmtId="0" fontId="2" fillId="0" borderId="5" xfId="2" applyFont="1" applyBorder="1" applyAlignment="1">
      <alignment horizontal="left" wrapText="1"/>
    </xf>
    <xf numFmtId="0" fontId="6" fillId="4" borderId="6" xfId="2" applyFont="1" applyFill="1" applyBorder="1" applyAlignment="1">
      <alignment horizontal="left" wrapText="1"/>
    </xf>
    <xf numFmtId="0" fontId="6" fillId="4" borderId="3" xfId="2" applyFont="1" applyFill="1" applyBorder="1" applyAlignment="1">
      <alignment horizontal="left" wrapText="1"/>
    </xf>
    <xf numFmtId="0" fontId="2" fillId="5" borderId="7" xfId="2" applyFont="1" applyFill="1" applyBorder="1" applyAlignment="1">
      <alignment vertical="top"/>
    </xf>
    <xf numFmtId="164" fontId="2" fillId="0" borderId="5" xfId="2" applyNumberFormat="1" applyFont="1" applyBorder="1" applyAlignment="1">
      <alignment horizontal="left" wrapText="1"/>
    </xf>
    <xf numFmtId="164" fontId="15" fillId="5" borderId="5" xfId="2" applyNumberFormat="1" applyFont="1" applyFill="1" applyBorder="1" applyAlignment="1">
      <alignment horizontal="left" vertical="top" wrapText="1"/>
    </xf>
    <xf numFmtId="0" fontId="15" fillId="5" borderId="7" xfId="2" applyFont="1" applyFill="1" applyBorder="1" applyAlignment="1">
      <alignment vertical="top"/>
    </xf>
    <xf numFmtId="0" fontId="15" fillId="0" borderId="7" xfId="2" applyFont="1" applyBorder="1" applyAlignment="1">
      <alignment vertical="top"/>
    </xf>
    <xf numFmtId="0" fontId="15" fillId="5" borderId="6" xfId="0" applyFont="1" applyFill="1" applyBorder="1" applyAlignment="1">
      <alignment horizontal="left" vertical="top" wrapText="1"/>
    </xf>
    <xf numFmtId="0" fontId="15" fillId="9" borderId="32" xfId="0" applyFont="1" applyFill="1" applyBorder="1" applyAlignment="1">
      <alignment horizontal="left" vertical="top" wrapText="1"/>
    </xf>
    <xf numFmtId="0" fontId="8" fillId="0" borderId="0" xfId="4" applyFont="1" applyAlignment="1">
      <alignment horizontal="left" wrapText="1"/>
    </xf>
    <xf numFmtId="0" fontId="2" fillId="0" borderId="14" xfId="0" applyFont="1" applyBorder="1" applyAlignment="1">
      <alignment horizontal="left" vertical="top"/>
    </xf>
    <xf numFmtId="0" fontId="2" fillId="0" borderId="15" xfId="0" applyFont="1" applyBorder="1" applyAlignment="1">
      <alignment horizontal="left" vertical="top"/>
    </xf>
    <xf numFmtId="0" fontId="2" fillId="0" borderId="16" xfId="0" applyFont="1" applyBorder="1" applyAlignment="1">
      <alignment horizontal="left" vertical="top"/>
    </xf>
    <xf numFmtId="0" fontId="2" fillId="0" borderId="18" xfId="0" applyFont="1" applyBorder="1" applyAlignment="1">
      <alignment horizontal="left" vertical="top"/>
    </xf>
    <xf numFmtId="0" fontId="2" fillId="0" borderId="19" xfId="0" applyFont="1" applyBorder="1" applyAlignment="1">
      <alignment horizontal="left" vertical="top"/>
    </xf>
    <xf numFmtId="0" fontId="2" fillId="0" borderId="20" xfId="0" applyFont="1" applyBorder="1" applyAlignment="1">
      <alignment horizontal="left" vertical="top"/>
    </xf>
    <xf numFmtId="0" fontId="2" fillId="0" borderId="22" xfId="0" applyFont="1" applyBorder="1" applyAlignment="1">
      <alignment horizontal="left"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4" fillId="0" borderId="1" xfId="0" applyFont="1" applyBorder="1" applyAlignment="1">
      <alignment horizontal="left" wrapText="1"/>
    </xf>
    <xf numFmtId="0" fontId="4" fillId="0" borderId="2" xfId="0" applyFont="1" applyBorder="1" applyAlignment="1">
      <alignment horizontal="left" wrapText="1"/>
    </xf>
    <xf numFmtId="0" fontId="4" fillId="0" borderId="3" xfId="0" applyFont="1" applyBorder="1" applyAlignment="1">
      <alignment horizontal="left" wrapText="1"/>
    </xf>
    <xf numFmtId="0" fontId="5" fillId="0" borderId="0" xfId="0" applyFont="1" applyAlignment="1">
      <alignment horizontal="left" wrapText="1"/>
    </xf>
    <xf numFmtId="0" fontId="12" fillId="4" borderId="34" xfId="2" applyFont="1" applyFill="1" applyBorder="1" applyAlignment="1">
      <alignment horizontal="left" wrapText="1"/>
    </xf>
    <xf numFmtId="0" fontId="12" fillId="4" borderId="35" xfId="2" applyFont="1" applyFill="1" applyBorder="1" applyAlignment="1">
      <alignment horizontal="left" wrapText="1"/>
    </xf>
    <xf numFmtId="0" fontId="8" fillId="5" borderId="1" xfId="2" applyFont="1" applyFill="1" applyBorder="1" applyAlignment="1">
      <alignment horizontal="left" vertical="top"/>
    </xf>
    <xf numFmtId="0" fontId="8" fillId="5" borderId="2" xfId="2" applyFont="1" applyFill="1" applyBorder="1" applyAlignment="1">
      <alignment horizontal="left" vertical="top"/>
    </xf>
    <xf numFmtId="0" fontId="8" fillId="5" borderId="3" xfId="2" applyFont="1" applyFill="1" applyBorder="1" applyAlignment="1">
      <alignment horizontal="left" vertical="top"/>
    </xf>
    <xf numFmtId="0" fontId="8" fillId="5" borderId="1" xfId="2" applyFont="1" applyFill="1" applyBorder="1" applyAlignment="1">
      <alignment horizontal="left" vertical="top" wrapText="1"/>
    </xf>
    <xf numFmtId="0" fontId="8" fillId="5" borderId="2" xfId="2" applyFont="1" applyFill="1" applyBorder="1" applyAlignment="1">
      <alignment horizontal="left" vertical="top" wrapText="1"/>
    </xf>
    <xf numFmtId="0" fontId="8" fillId="5" borderId="3" xfId="2" applyFont="1" applyFill="1" applyBorder="1" applyAlignment="1">
      <alignment horizontal="left" vertical="top" wrapText="1"/>
    </xf>
    <xf numFmtId="0" fontId="12" fillId="4" borderId="1" xfId="2" applyFont="1" applyFill="1" applyBorder="1" applyAlignment="1">
      <alignment horizontal="left" wrapText="1"/>
    </xf>
    <xf numFmtId="0" fontId="12" fillId="4" borderId="2" xfId="2" applyFont="1" applyFill="1" applyBorder="1" applyAlignment="1">
      <alignment horizontal="left" wrapText="1"/>
    </xf>
    <xf numFmtId="0" fontId="12" fillId="4" borderId="3" xfId="2" applyFont="1" applyFill="1" applyBorder="1" applyAlignment="1">
      <alignment horizontal="left" wrapText="1"/>
    </xf>
    <xf numFmtId="0" fontId="8" fillId="5" borderId="1" xfId="2" applyFont="1" applyFill="1" applyBorder="1" applyAlignment="1">
      <alignment horizontal="left"/>
    </xf>
    <xf numFmtId="0" fontId="8" fillId="5" borderId="2" xfId="2" applyFont="1" applyFill="1" applyBorder="1" applyAlignment="1">
      <alignment horizontal="left"/>
    </xf>
    <xf numFmtId="0" fontId="8" fillId="5" borderId="3" xfId="2" applyFont="1" applyFill="1" applyBorder="1" applyAlignment="1">
      <alignment horizontal="left"/>
    </xf>
    <xf numFmtId="0" fontId="8" fillId="5" borderId="1" xfId="2" applyFont="1" applyFill="1" applyBorder="1" applyAlignment="1">
      <alignment horizontal="left" wrapText="1"/>
    </xf>
    <xf numFmtId="0" fontId="8" fillId="5" borderId="2" xfId="2" applyFont="1" applyFill="1" applyBorder="1" applyAlignment="1">
      <alignment horizontal="left" wrapText="1"/>
    </xf>
    <xf numFmtId="0" fontId="8" fillId="5" borderId="3" xfId="2" applyFont="1" applyFill="1" applyBorder="1" applyAlignment="1">
      <alignment horizontal="left" wrapText="1"/>
    </xf>
    <xf numFmtId="0" fontId="2" fillId="5" borderId="1" xfId="2" applyFont="1" applyFill="1" applyBorder="1" applyAlignment="1">
      <alignment horizontal="left" wrapText="1"/>
    </xf>
    <xf numFmtId="0" fontId="2" fillId="5" borderId="2" xfId="2" applyFont="1" applyFill="1" applyBorder="1" applyAlignment="1">
      <alignment horizontal="left" wrapText="1"/>
    </xf>
    <xf numFmtId="0" fontId="2" fillId="5" borderId="3" xfId="2" applyFont="1" applyFill="1" applyBorder="1" applyAlignment="1">
      <alignment horizontal="left" wrapText="1"/>
    </xf>
    <xf numFmtId="0" fontId="6" fillId="0" borderId="0" xfId="0" applyFont="1" applyAlignment="1">
      <alignment horizontal="left" wrapText="1"/>
    </xf>
    <xf numFmtId="0" fontId="2" fillId="5" borderId="1" xfId="2" applyFont="1" applyFill="1" applyBorder="1" applyAlignment="1">
      <alignment horizontal="left"/>
    </xf>
    <xf numFmtId="0" fontId="2" fillId="5" borderId="2" xfId="2" applyFont="1" applyFill="1" applyBorder="1" applyAlignment="1">
      <alignment horizontal="left"/>
    </xf>
    <xf numFmtId="0" fontId="2" fillId="5" borderId="3" xfId="2" applyFont="1" applyFill="1" applyBorder="1" applyAlignment="1">
      <alignment horizontal="left"/>
    </xf>
    <xf numFmtId="0" fontId="2" fillId="5" borderId="11" xfId="2" applyFont="1" applyFill="1" applyBorder="1" applyAlignment="1">
      <alignment horizontal="left" wrapText="1"/>
    </xf>
    <xf numFmtId="0" fontId="2" fillId="5" borderId="36" xfId="2" applyFont="1" applyFill="1" applyBorder="1" applyAlignment="1">
      <alignment horizontal="left" wrapText="1"/>
    </xf>
    <xf numFmtId="0" fontId="2" fillId="5" borderId="37" xfId="2" applyFont="1" applyFill="1" applyBorder="1" applyAlignment="1">
      <alignment horizontal="left" wrapText="1"/>
    </xf>
    <xf numFmtId="0" fontId="2" fillId="0" borderId="1" xfId="2" applyFont="1" applyBorder="1" applyAlignment="1">
      <alignment horizontal="left" wrapText="1"/>
    </xf>
    <xf numFmtId="0" fontId="2" fillId="0" borderId="2" xfId="2" applyFont="1" applyBorder="1" applyAlignment="1">
      <alignment horizontal="left" wrapText="1"/>
    </xf>
    <xf numFmtId="0" fontId="2" fillId="0" borderId="3" xfId="2" applyFont="1" applyBorder="1" applyAlignment="1">
      <alignment horizontal="left" wrapText="1"/>
    </xf>
    <xf numFmtId="0" fontId="2" fillId="0" borderId="1" xfId="2" applyFont="1" applyBorder="1" applyAlignment="1">
      <alignment horizontal="left" vertical="top" wrapText="1"/>
    </xf>
    <xf numFmtId="0" fontId="2" fillId="0" borderId="2" xfId="2" applyFont="1" applyBorder="1" applyAlignment="1">
      <alignment horizontal="left" vertical="top" wrapText="1"/>
    </xf>
    <xf numFmtId="0" fontId="2" fillId="0" borderId="3" xfId="2" applyFont="1" applyBorder="1" applyAlignment="1">
      <alignment horizontal="left" vertical="top" wrapText="1"/>
    </xf>
    <xf numFmtId="0" fontId="15" fillId="0" borderId="1" xfId="2" applyFont="1" applyBorder="1" applyAlignment="1">
      <alignment horizontal="left" vertical="top"/>
    </xf>
    <xf numFmtId="0" fontId="15" fillId="0" borderId="2" xfId="2" applyFont="1" applyBorder="1" applyAlignment="1">
      <alignment horizontal="left" vertical="top"/>
    </xf>
    <xf numFmtId="0" fontId="15" fillId="0" borderId="3" xfId="2" applyFont="1" applyBorder="1" applyAlignment="1">
      <alignment horizontal="left" vertical="top"/>
    </xf>
    <xf numFmtId="0" fontId="2" fillId="0" borderId="1" xfId="2" applyFont="1" applyBorder="1" applyAlignment="1">
      <alignment horizontal="left" vertical="top"/>
    </xf>
    <xf numFmtId="0" fontId="2" fillId="0" borderId="2" xfId="2" applyFont="1" applyBorder="1" applyAlignment="1">
      <alignment horizontal="left" vertical="top"/>
    </xf>
    <xf numFmtId="0" fontId="2" fillId="0" borderId="3" xfId="2" applyFont="1" applyBorder="1" applyAlignment="1">
      <alignment horizontal="left" vertical="top"/>
    </xf>
    <xf numFmtId="0" fontId="15" fillId="0" borderId="1" xfId="2" applyFont="1" applyBorder="1" applyAlignment="1">
      <alignment horizontal="left" vertical="top" wrapText="1"/>
    </xf>
    <xf numFmtId="0" fontId="15" fillId="0" borderId="2" xfId="2" applyFont="1" applyBorder="1" applyAlignment="1">
      <alignment horizontal="left" vertical="top" wrapText="1"/>
    </xf>
    <xf numFmtId="0" fontId="15" fillId="0" borderId="3" xfId="2" applyFont="1" applyBorder="1" applyAlignment="1">
      <alignment horizontal="left" vertical="top"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6" fillId="4" borderId="1" xfId="2" applyFont="1" applyFill="1" applyBorder="1" applyAlignment="1">
      <alignment horizontal="left" wrapText="1"/>
    </xf>
    <xf numFmtId="0" fontId="6" fillId="4" borderId="2" xfId="2" applyFont="1" applyFill="1" applyBorder="1" applyAlignment="1">
      <alignment horizontal="left" wrapText="1"/>
    </xf>
    <xf numFmtId="0" fontId="6" fillId="4" borderId="3" xfId="2" applyFont="1" applyFill="1" applyBorder="1" applyAlignment="1">
      <alignment horizontal="left" wrapText="1"/>
    </xf>
    <xf numFmtId="0" fontId="2" fillId="5" borderId="1" xfId="2" applyFont="1" applyFill="1" applyBorder="1" applyAlignment="1">
      <alignment horizontal="left" vertical="top"/>
    </xf>
    <xf numFmtId="0" fontId="2" fillId="5" borderId="2" xfId="2" applyFont="1" applyFill="1" applyBorder="1" applyAlignment="1">
      <alignment horizontal="left" vertical="top"/>
    </xf>
    <xf numFmtId="0" fontId="2" fillId="5" borderId="3" xfId="2" applyFont="1" applyFill="1" applyBorder="1" applyAlignment="1">
      <alignment horizontal="left" vertical="top"/>
    </xf>
    <xf numFmtId="0" fontId="2" fillId="5" borderId="1" xfId="2" applyFont="1" applyFill="1" applyBorder="1" applyAlignment="1">
      <alignment horizontal="left" vertical="top" wrapText="1"/>
    </xf>
    <xf numFmtId="0" fontId="2" fillId="5" borderId="2" xfId="2" applyFont="1" applyFill="1" applyBorder="1" applyAlignment="1">
      <alignment horizontal="left" vertical="top" wrapText="1"/>
    </xf>
    <xf numFmtId="0" fontId="2" fillId="5" borderId="3" xfId="2" applyFont="1" applyFill="1" applyBorder="1" applyAlignment="1">
      <alignment horizontal="left" vertical="top" wrapText="1"/>
    </xf>
    <xf numFmtId="0" fontId="8" fillId="0" borderId="1" xfId="2" applyFont="1" applyBorder="1" applyAlignment="1">
      <alignment horizontal="left" vertical="top" wrapText="1"/>
    </xf>
    <xf numFmtId="0" fontId="8" fillId="0" borderId="2" xfId="2" applyFont="1" applyBorder="1" applyAlignment="1">
      <alignment horizontal="left" vertical="top" wrapText="1"/>
    </xf>
    <xf numFmtId="0" fontId="8" fillId="0" borderId="3" xfId="2" applyFont="1" applyBorder="1" applyAlignment="1">
      <alignment horizontal="left" vertical="top" wrapText="1"/>
    </xf>
    <xf numFmtId="0" fontId="8" fillId="0" borderId="1" xfId="2" applyFont="1" applyBorder="1" applyAlignment="1">
      <alignment horizontal="left" wrapText="1"/>
    </xf>
    <xf numFmtId="0" fontId="8" fillId="0" borderId="2" xfId="2" applyFont="1" applyBorder="1" applyAlignment="1">
      <alignment horizontal="left" wrapText="1"/>
    </xf>
    <xf numFmtId="0" fontId="8" fillId="0" borderId="3" xfId="2" applyFont="1" applyBorder="1" applyAlignment="1">
      <alignment horizontal="left" wrapText="1"/>
    </xf>
  </cellXfs>
  <cellStyles count="5">
    <cellStyle name="Hyperlink" xfId="1" builtinId="8"/>
    <cellStyle name="Hyperlink 2" xfId="3" xr:uid="{00000000-0005-0000-0000-000001000000}"/>
    <cellStyle name="Normal" xfId="0" builtinId="0"/>
    <cellStyle name="Normal 2" xfId="4" xr:uid="{00000000-0005-0000-0000-000003000000}"/>
    <cellStyle name="Normal 9" xfId="2" xr:uid="{00000000-0005-0000-0000-000004000000}"/>
  </cellStyles>
  <dxfs count="24">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B1A0C7"/>
      <color rgb="FFFFD8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https://www.bluetooth.org/tse/errata_view.cfm?errata_id=2706" TargetMode="External"/><Relationship Id="rId3" Type="http://schemas.openxmlformats.org/officeDocument/2006/relationships/hyperlink" Target="https://www.bluetooth.org/tse/errata_view.cfm?errata_id=2706" TargetMode="External"/><Relationship Id="rId7" Type="http://schemas.openxmlformats.org/officeDocument/2006/relationships/hyperlink" Target="https://www.bluetooth.org/tse/errata_view.cfm?errata_id=2706" TargetMode="External"/><Relationship Id="rId2" Type="http://schemas.openxmlformats.org/officeDocument/2006/relationships/hyperlink" Target="https://www.bluetooth.org/tse/errata_view.cfm?errata_id=2706" TargetMode="External"/><Relationship Id="rId1" Type="http://schemas.openxmlformats.org/officeDocument/2006/relationships/hyperlink" Target="https://www.bluetooth.org/tse/errata_view.cfm?errata_id=2706" TargetMode="External"/><Relationship Id="rId6" Type="http://schemas.openxmlformats.org/officeDocument/2006/relationships/hyperlink" Target="https://www.bluetooth.org/tse/errata_view.cfm?errata_id=2706" TargetMode="External"/><Relationship Id="rId5" Type="http://schemas.openxmlformats.org/officeDocument/2006/relationships/hyperlink" Target="https://www.bluetooth.org/tse/errata_view.cfm?errata_id=2706" TargetMode="External"/><Relationship Id="rId10" Type="http://schemas.openxmlformats.org/officeDocument/2006/relationships/printerSettings" Target="../printerSettings/printerSettings6.bin"/><Relationship Id="rId4" Type="http://schemas.openxmlformats.org/officeDocument/2006/relationships/hyperlink" Target="https://www.bluetooth.org/tse/errata_view.cfm?errata_id=2706" TargetMode="External"/><Relationship Id="rId9" Type="http://schemas.openxmlformats.org/officeDocument/2006/relationships/hyperlink" Target="https://www.bluetooth.org/tse/errata_view.cfm?errata_id=2706"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zoomScaleNormal="100" workbookViewId="0"/>
  </sheetViews>
  <sheetFormatPr defaultColWidth="11.3984375" defaultRowHeight="12.75" x14ac:dyDescent="0.35"/>
  <cols>
    <col min="1" max="2" width="16.53125" style="7" customWidth="1"/>
    <col min="3" max="3" width="67" style="7" customWidth="1"/>
    <col min="4" max="6" width="16.53125" style="7" customWidth="1"/>
    <col min="7" max="16384" width="11.3984375" style="7"/>
  </cols>
  <sheetData>
    <row r="1" spans="1:6" ht="22.5" x14ac:dyDescent="0.6">
      <c r="A1" s="79" t="s">
        <v>578</v>
      </c>
    </row>
    <row r="2" spans="1:6" ht="17.649999999999999" x14ac:dyDescent="0.5">
      <c r="A2" s="8" t="s">
        <v>0</v>
      </c>
      <c r="B2" s="9"/>
      <c r="C2" s="9"/>
    </row>
    <row r="3" spans="1:6" ht="13.15" x14ac:dyDescent="0.4">
      <c r="A3" s="10"/>
    </row>
    <row r="4" spans="1:6" ht="41.25" customHeight="1" x14ac:dyDescent="0.35">
      <c r="A4" s="153" t="s">
        <v>210</v>
      </c>
      <c r="B4" s="153"/>
      <c r="C4" s="153"/>
    </row>
    <row r="5" spans="1:6" ht="13.15" thickBot="1" x14ac:dyDescent="0.4">
      <c r="A5" s="78"/>
      <c r="B5" s="78"/>
      <c r="C5" s="78"/>
    </row>
    <row r="6" spans="1:6" ht="13.5" thickBot="1" x14ac:dyDescent="0.45">
      <c r="A6" s="80" t="s">
        <v>579</v>
      </c>
      <c r="B6" s="81"/>
      <c r="C6" s="82"/>
      <c r="D6" s="82"/>
      <c r="E6" s="82"/>
      <c r="F6" s="83"/>
    </row>
    <row r="7" spans="1:6" x14ac:dyDescent="0.35">
      <c r="A7" s="84"/>
      <c r="B7" s="154" t="s">
        <v>580</v>
      </c>
      <c r="C7" s="155"/>
      <c r="D7" s="155"/>
      <c r="E7" s="155"/>
      <c r="F7" s="156"/>
    </row>
    <row r="8" spans="1:6" x14ac:dyDescent="0.35">
      <c r="A8" s="85"/>
      <c r="B8" s="157" t="s">
        <v>581</v>
      </c>
      <c r="C8" s="158"/>
      <c r="D8" s="158"/>
      <c r="E8" s="158"/>
      <c r="F8" s="159"/>
    </row>
    <row r="9" spans="1:6" ht="12.75" customHeight="1" thickBot="1" x14ac:dyDescent="0.4">
      <c r="A9" s="86"/>
      <c r="B9" s="160" t="s">
        <v>582</v>
      </c>
      <c r="C9" s="161"/>
      <c r="D9" s="161"/>
      <c r="E9" s="161"/>
      <c r="F9" s="162"/>
    </row>
    <row r="11" spans="1:6" ht="15" x14ac:dyDescent="0.35">
      <c r="A11" s="87" t="s">
        <v>583</v>
      </c>
    </row>
    <row r="13" spans="1:6" x14ac:dyDescent="0.35">
      <c r="A13" s="7" t="s">
        <v>16</v>
      </c>
      <c r="B13" s="77">
        <v>45706</v>
      </c>
    </row>
    <row r="15" spans="1:6" ht="17.649999999999999" x14ac:dyDescent="0.35">
      <c r="A15" s="11" t="s">
        <v>18</v>
      </c>
      <c r="B15" s="12"/>
      <c r="C15" s="13"/>
      <c r="D15" s="14"/>
    </row>
    <row r="16" spans="1:6" ht="13.15" thickBot="1" x14ac:dyDescent="0.4">
      <c r="A16" s="15"/>
      <c r="B16" s="16"/>
      <c r="C16" s="17"/>
      <c r="D16" s="15"/>
    </row>
    <row r="17" spans="1:6" ht="13.15" x14ac:dyDescent="0.35">
      <c r="A17" s="18" t="s">
        <v>19</v>
      </c>
      <c r="B17" s="99" t="s">
        <v>20</v>
      </c>
      <c r="C17" s="102" t="s">
        <v>21</v>
      </c>
      <c r="D17" s="106"/>
      <c r="E17" s="106"/>
      <c r="F17" s="106"/>
    </row>
    <row r="18" spans="1:6" ht="12.75" customHeight="1" x14ac:dyDescent="0.35">
      <c r="A18" s="70" t="s">
        <v>17</v>
      </c>
      <c r="B18" s="100">
        <v>44390</v>
      </c>
      <c r="C18" s="71" t="s">
        <v>538</v>
      </c>
      <c r="D18" s="103"/>
      <c r="E18" s="103"/>
      <c r="F18" s="103"/>
    </row>
    <row r="19" spans="1:6" ht="25.5" customHeight="1" x14ac:dyDescent="0.35">
      <c r="A19" s="72" t="s">
        <v>546</v>
      </c>
      <c r="B19" s="100">
        <v>44740</v>
      </c>
      <c r="C19" s="71" t="s">
        <v>547</v>
      </c>
      <c r="D19" s="103"/>
      <c r="E19" s="103"/>
      <c r="F19" s="103"/>
    </row>
    <row r="20" spans="1:6" ht="37.5" customHeight="1" x14ac:dyDescent="0.35">
      <c r="A20" s="88" t="s">
        <v>548</v>
      </c>
      <c r="B20" s="101">
        <v>44964</v>
      </c>
      <c r="C20" s="89" t="s">
        <v>557</v>
      </c>
      <c r="D20" s="104"/>
      <c r="E20" s="104"/>
      <c r="F20" s="104"/>
    </row>
    <row r="21" spans="1:6" ht="25.5" x14ac:dyDescent="0.35">
      <c r="A21" s="107" t="s">
        <v>584</v>
      </c>
      <c r="B21" s="108">
        <v>45106</v>
      </c>
      <c r="C21" s="109" t="s">
        <v>585</v>
      </c>
      <c r="D21" s="104"/>
      <c r="E21" s="104"/>
      <c r="F21" s="104"/>
    </row>
    <row r="22" spans="1:6" ht="25.5" x14ac:dyDescent="0.35">
      <c r="A22" s="107" t="s">
        <v>587</v>
      </c>
      <c r="B22" s="108">
        <v>45474</v>
      </c>
      <c r="C22" s="109" t="s">
        <v>588</v>
      </c>
      <c r="D22" s="104"/>
      <c r="E22" s="104"/>
      <c r="F22" s="104"/>
    </row>
    <row r="23" spans="1:6" ht="38.25" x14ac:dyDescent="0.35">
      <c r="A23" s="131" t="s">
        <v>589</v>
      </c>
      <c r="B23" s="108">
        <v>45573</v>
      </c>
      <c r="C23" s="109" t="s">
        <v>590</v>
      </c>
      <c r="D23" s="104"/>
      <c r="E23" s="104"/>
      <c r="F23" s="104"/>
    </row>
    <row r="24" spans="1:6" ht="25.9" thickBot="1" x14ac:dyDescent="0.4">
      <c r="A24" s="98" t="s">
        <v>658</v>
      </c>
      <c r="B24" s="127">
        <v>45706</v>
      </c>
      <c r="C24" s="90" t="s">
        <v>659</v>
      </c>
      <c r="D24" s="105"/>
      <c r="E24" s="105"/>
      <c r="F24" s="105"/>
    </row>
  </sheetData>
  <mergeCells count="4">
    <mergeCell ref="A4:C4"/>
    <mergeCell ref="B7:F7"/>
    <mergeCell ref="B8:F8"/>
    <mergeCell ref="B9:F9"/>
  </mergeCells>
  <pageMargins left="0.74791666666666667" right="0.74791666666666667" top="0.98402777777777783" bottom="0.98402777777777783" header="0.51180555555555562" footer="0.5118055555555556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J17"/>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6.73046875" customWidth="1"/>
  </cols>
  <sheetData>
    <row r="1" spans="1:10" ht="28.5" customHeight="1" thickBot="1" x14ac:dyDescent="0.65">
      <c r="A1" s="19" t="s">
        <v>185</v>
      </c>
      <c r="B1" s="25"/>
      <c r="C1" s="25"/>
      <c r="D1" s="3"/>
      <c r="E1" s="3"/>
      <c r="F1" s="28"/>
      <c r="G1" s="28"/>
      <c r="H1" s="28"/>
      <c r="I1" s="28"/>
      <c r="J1" s="3"/>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31.45" customHeight="1" thickBot="1" x14ac:dyDescent="0.5">
      <c r="A4" s="30" t="s">
        <v>8</v>
      </c>
      <c r="B4" s="31" t="s">
        <v>6</v>
      </c>
      <c r="C4" s="30" t="s">
        <v>541</v>
      </c>
      <c r="D4" s="175" t="s">
        <v>9</v>
      </c>
      <c r="E4" s="176"/>
      <c r="F4" s="177"/>
      <c r="G4" s="175" t="s">
        <v>550</v>
      </c>
      <c r="H4" s="176"/>
      <c r="I4" s="177"/>
      <c r="J4" s="29"/>
    </row>
    <row r="5" spans="1:10" s="65" customFormat="1" ht="13.5" customHeight="1" thickBot="1" x14ac:dyDescent="0.4">
      <c r="A5" s="64" t="s">
        <v>186</v>
      </c>
      <c r="B5" s="64">
        <v>41219</v>
      </c>
      <c r="C5" s="64" t="s">
        <v>15</v>
      </c>
      <c r="D5" s="172" t="s">
        <v>187</v>
      </c>
      <c r="E5" s="173"/>
      <c r="F5" s="174"/>
      <c r="G5" s="169" t="s">
        <v>91</v>
      </c>
      <c r="H5" s="170"/>
      <c r="I5" s="171"/>
      <c r="J5" s="29"/>
    </row>
    <row r="6" spans="1:10" s="5" customFormat="1" ht="14.25" x14ac:dyDescent="0.45">
      <c r="A6" s="29"/>
      <c r="B6" s="29"/>
      <c r="C6" s="29"/>
      <c r="D6" s="29"/>
      <c r="E6" s="29"/>
      <c r="F6" s="29"/>
      <c r="G6" s="29"/>
      <c r="H6" s="29"/>
      <c r="I6" s="29"/>
      <c r="J6" s="29"/>
    </row>
    <row r="7" spans="1:10" ht="21" customHeight="1" x14ac:dyDescent="0.4">
      <c r="A7" s="166" t="s">
        <v>7</v>
      </c>
      <c r="B7" s="166"/>
      <c r="C7" s="27"/>
      <c r="D7" s="3"/>
      <c r="E7" s="3"/>
      <c r="F7" s="28"/>
      <c r="G7" s="28"/>
      <c r="H7" s="28"/>
      <c r="I7" s="28"/>
      <c r="J7" s="3"/>
    </row>
    <row r="8" spans="1:10" ht="21" customHeight="1" x14ac:dyDescent="0.4">
      <c r="A8" s="132" t="s">
        <v>660</v>
      </c>
      <c r="B8" s="134"/>
      <c r="C8" s="134"/>
      <c r="D8" s="132"/>
      <c r="E8" s="135"/>
      <c r="F8" s="136"/>
      <c r="G8" s="136"/>
      <c r="H8" s="136"/>
      <c r="I8" s="136"/>
      <c r="J8" s="3"/>
    </row>
    <row r="9" spans="1:10" ht="21" customHeight="1" thickBot="1" x14ac:dyDescent="0.45">
      <c r="A9" s="132" t="s">
        <v>369</v>
      </c>
      <c r="B9" s="133"/>
      <c r="C9" s="134"/>
      <c r="D9" s="132"/>
      <c r="E9" s="135"/>
      <c r="F9" s="136"/>
      <c r="G9" s="136"/>
      <c r="H9" s="136"/>
      <c r="I9" s="136"/>
      <c r="J9" s="3"/>
    </row>
    <row r="10" spans="1:10" s="2" customFormat="1" ht="26.65" thickBot="1" x14ac:dyDescent="0.45">
      <c r="A10" s="32" t="s">
        <v>208</v>
      </c>
      <c r="B10" s="32" t="s">
        <v>661</v>
      </c>
      <c r="C10" s="32" t="s">
        <v>605</v>
      </c>
      <c r="D10" s="33" t="s">
        <v>263</v>
      </c>
      <c r="E10" s="33" t="s">
        <v>662</v>
      </c>
      <c r="F10" s="34" t="s">
        <v>0</v>
      </c>
      <c r="G10" s="33" t="s">
        <v>663</v>
      </c>
      <c r="H10" s="34" t="s">
        <v>664</v>
      </c>
      <c r="I10" s="34" t="s">
        <v>3</v>
      </c>
      <c r="J10" s="33" t="s">
        <v>2</v>
      </c>
    </row>
    <row r="11" spans="1:10" s="2" customFormat="1" ht="25.9" thickBot="1" x14ac:dyDescent="0.45">
      <c r="A11" s="35">
        <f>HYPERLINK("https://bluetooth.atlassian.net/browse/ES-284",284)</f>
        <v>284</v>
      </c>
      <c r="B11" s="36" t="s">
        <v>618</v>
      </c>
      <c r="C11" s="36">
        <v>1.1000000000000001</v>
      </c>
      <c r="D11" s="36" t="s">
        <v>189</v>
      </c>
      <c r="E11" s="116" t="s">
        <v>188</v>
      </c>
      <c r="F11" s="118" t="s">
        <v>1</v>
      </c>
      <c r="G11" s="36"/>
      <c r="H11" s="35"/>
      <c r="I11" s="36"/>
      <c r="J11" s="36"/>
    </row>
    <row r="12" spans="1:10" s="2" customFormat="1" ht="25.9" thickBot="1" x14ac:dyDescent="0.45">
      <c r="A12" s="75" t="s">
        <v>534</v>
      </c>
      <c r="B12" s="38" t="s">
        <v>618</v>
      </c>
      <c r="C12" s="38">
        <v>1.1000000000000001</v>
      </c>
      <c r="D12" s="38" t="s">
        <v>533</v>
      </c>
      <c r="E12" s="117" t="s">
        <v>188</v>
      </c>
      <c r="F12" s="112" t="s">
        <v>601</v>
      </c>
      <c r="G12" s="115" t="s">
        <v>188</v>
      </c>
      <c r="H12" s="48">
        <f>HYPERLINK("https://bluetooth.atlassian.net/browse/ES-1173",1173)</f>
        <v>1173</v>
      </c>
      <c r="I12" s="119" t="s">
        <v>42</v>
      </c>
      <c r="J12" s="38" t="s">
        <v>535</v>
      </c>
    </row>
    <row r="17" spans="1:1" ht="15.75" customHeight="1" x14ac:dyDescent="0.35">
      <c r="A17" s="25"/>
    </row>
  </sheetData>
  <mergeCells count="7">
    <mergeCell ref="A3:I3"/>
    <mergeCell ref="A2:I2"/>
    <mergeCell ref="A7:B7"/>
    <mergeCell ref="D4:F4"/>
    <mergeCell ref="D5:F5"/>
    <mergeCell ref="G4:I4"/>
    <mergeCell ref="G5:I5"/>
  </mergeCells>
  <conditionalFormatting sqref="F11:F12">
    <cfRule type="cellIs" dxfId="16" priority="1" operator="greaterThan">
      <formula>"Yes"</formula>
    </cfRule>
  </conditionalFormatting>
  <dataValidations count="7">
    <dataValidation type="list" allowBlank="1" sqref="I10" xr:uid="{00000000-0002-0000-0900-000000000000}">
      <formula1>#REF!</formula1>
    </dataValidation>
    <dataValidation type="list" allowBlank="1" sqref="F10:H10" xr:uid="{98EDB751-895A-4D7F-A32C-7CDC989B254A}">
      <formula1>#REF!</formula1>
    </dataValidation>
    <dataValidation allowBlank="1" sqref="H11:H12" xr:uid="{A3015188-5DAE-4CC2-871C-A0ACE93D3953}"/>
    <dataValidation type="list" allowBlank="1" showInputMessage="1" showErrorMessage="1" sqref="E11:E12" xr:uid="{BDEDCDD4-FA6D-4F68-B797-55C53FD88132}">
      <formula1>"Editorial,1/Technical Low,2/Technical Medium,3/Technical High,4/Technical Critical,Not Categorized"</formula1>
    </dataValidation>
    <dataValidation type="list" allowBlank="1" sqref="F11:F12" xr:uid="{F097DD88-F7BF-40CC-8940-76FEC0596150}">
      <formula1>"No,Yes - doesn't need to wait for erratum,Yes - tied to spec change,Not Reviewed"</formula1>
    </dataValidation>
    <dataValidation type="list" allowBlank="1" showInputMessage="1" showErrorMessage="1" sqref="G11:G12" xr:uid="{8A07C571-8544-4A35-82E4-0AF21E19285D}">
      <formula1>"1,2,3,4,Not Categorized"</formula1>
    </dataValidation>
    <dataValidation type="list" allowBlank="1" sqref="I11:I12" xr:uid="{B3098086-E8EA-438C-9161-BAB2F3C6D7E5}">
      <formula1>"Open,Approved,Rejected,Released"</formula1>
    </dataValidation>
  </dataValidation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J17"/>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7.53125" customWidth="1"/>
  </cols>
  <sheetData>
    <row r="1" spans="1:10" ht="28.5" customHeight="1" thickBot="1" x14ac:dyDescent="0.65">
      <c r="A1" s="19" t="s">
        <v>190</v>
      </c>
      <c r="B1" s="25"/>
      <c r="C1" s="25"/>
      <c r="D1" s="3"/>
      <c r="E1" s="3"/>
      <c r="F1" s="28"/>
      <c r="G1" s="28"/>
      <c r="H1" s="28"/>
      <c r="I1" s="28"/>
      <c r="J1" s="3"/>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30.95" customHeight="1" thickBot="1" x14ac:dyDescent="0.5">
      <c r="A4" s="30" t="s">
        <v>8</v>
      </c>
      <c r="B4" s="31" t="s">
        <v>6</v>
      </c>
      <c r="C4" s="30" t="s">
        <v>541</v>
      </c>
      <c r="D4" s="175" t="s">
        <v>9</v>
      </c>
      <c r="E4" s="176"/>
      <c r="F4" s="177"/>
      <c r="G4" s="175" t="s">
        <v>550</v>
      </c>
      <c r="H4" s="176"/>
      <c r="I4" s="177"/>
      <c r="J4" s="29"/>
    </row>
    <row r="5" spans="1:10" s="5" customFormat="1" ht="39.75" customHeight="1" thickBot="1" x14ac:dyDescent="0.5">
      <c r="A5" s="24" t="s">
        <v>191</v>
      </c>
      <c r="B5" s="24">
        <v>40416</v>
      </c>
      <c r="C5" s="94" t="s">
        <v>556</v>
      </c>
      <c r="D5" s="178" t="s">
        <v>196</v>
      </c>
      <c r="E5" s="179"/>
      <c r="F5" s="180"/>
      <c r="G5" s="172" t="s">
        <v>168</v>
      </c>
      <c r="H5" s="173"/>
      <c r="I5" s="174"/>
      <c r="J5" s="29"/>
    </row>
    <row r="6" spans="1:10" s="5" customFormat="1" ht="16.5" customHeight="1" thickBot="1" x14ac:dyDescent="0.5">
      <c r="A6" s="24" t="s">
        <v>192</v>
      </c>
      <c r="B6" s="24">
        <v>41114</v>
      </c>
      <c r="C6" s="94" t="s">
        <v>556</v>
      </c>
      <c r="D6" s="181" t="s">
        <v>194</v>
      </c>
      <c r="E6" s="182"/>
      <c r="F6" s="183"/>
      <c r="G6" s="178" t="s">
        <v>638</v>
      </c>
      <c r="H6" s="179"/>
      <c r="I6" s="180"/>
      <c r="J6" s="29"/>
    </row>
    <row r="7" spans="1:10" s="5" customFormat="1" ht="16.5" customHeight="1" thickBot="1" x14ac:dyDescent="0.5">
      <c r="A7" s="24" t="s">
        <v>193</v>
      </c>
      <c r="B7" s="24">
        <v>42353</v>
      </c>
      <c r="C7" s="24" t="s">
        <v>15</v>
      </c>
      <c r="D7" s="181" t="s">
        <v>195</v>
      </c>
      <c r="E7" s="182"/>
      <c r="F7" s="183"/>
      <c r="G7" s="178" t="s">
        <v>92</v>
      </c>
      <c r="H7" s="179"/>
      <c r="I7" s="180"/>
      <c r="J7" s="29"/>
    </row>
    <row r="8" spans="1:10" s="5" customFormat="1" ht="14.25" x14ac:dyDescent="0.45">
      <c r="A8" s="29"/>
      <c r="B8" s="29"/>
      <c r="C8" s="29"/>
      <c r="D8" s="29"/>
      <c r="E8" s="29"/>
      <c r="F8" s="29"/>
      <c r="G8" s="29"/>
      <c r="H8" s="29"/>
      <c r="I8" s="29"/>
      <c r="J8" s="29"/>
    </row>
    <row r="9" spans="1:10" ht="21" customHeight="1" x14ac:dyDescent="0.4">
      <c r="A9" s="166" t="s">
        <v>7</v>
      </c>
      <c r="B9" s="166"/>
      <c r="C9" s="27"/>
      <c r="D9" s="3"/>
      <c r="E9" s="3"/>
      <c r="F9" s="28"/>
      <c r="G9" s="28"/>
      <c r="H9" s="28"/>
      <c r="I9" s="28"/>
      <c r="J9" s="3"/>
    </row>
    <row r="10" spans="1:10" ht="21" customHeight="1" thickBot="1" x14ac:dyDescent="0.45">
      <c r="A10" s="132" t="s">
        <v>660</v>
      </c>
      <c r="B10" s="133"/>
      <c r="C10" s="134"/>
      <c r="D10" s="132"/>
      <c r="E10" s="135"/>
      <c r="F10" s="136"/>
      <c r="G10" s="136"/>
      <c r="H10" s="136"/>
      <c r="I10" s="28"/>
      <c r="J10" s="3"/>
    </row>
    <row r="11" spans="1:10" s="2" customFormat="1" ht="26.65" thickBot="1" x14ac:dyDescent="0.45">
      <c r="A11" s="32" t="s">
        <v>208</v>
      </c>
      <c r="B11" s="32" t="s">
        <v>661</v>
      </c>
      <c r="C11" s="32" t="s">
        <v>605</v>
      </c>
      <c r="D11" s="33" t="s">
        <v>263</v>
      </c>
      <c r="E11" s="33" t="s">
        <v>662</v>
      </c>
      <c r="F11" s="34" t="s">
        <v>0</v>
      </c>
      <c r="G11" s="33" t="s">
        <v>663</v>
      </c>
      <c r="H11" s="34" t="s">
        <v>664</v>
      </c>
      <c r="I11" s="34" t="s">
        <v>3</v>
      </c>
      <c r="J11" s="33" t="s">
        <v>2</v>
      </c>
    </row>
    <row r="12" spans="1:10" s="2" customFormat="1" ht="25.9" thickBot="1" x14ac:dyDescent="0.45">
      <c r="A12" s="35">
        <f>HYPERLINK("https://bluetooth.atlassian.net/browse/ES-2496",2496)</f>
        <v>2496</v>
      </c>
      <c r="B12" s="36" t="s">
        <v>619</v>
      </c>
      <c r="C12" s="36">
        <v>1.1000000000000001</v>
      </c>
      <c r="D12" s="36" t="s">
        <v>197</v>
      </c>
      <c r="E12" s="116" t="s">
        <v>188</v>
      </c>
      <c r="F12" s="118" t="s">
        <v>1</v>
      </c>
      <c r="G12" s="36"/>
      <c r="H12" s="35"/>
      <c r="I12" s="36"/>
      <c r="J12" s="36"/>
    </row>
    <row r="13" spans="1:10" s="2" customFormat="1" ht="25.9" thickBot="1" x14ac:dyDescent="0.45">
      <c r="A13" s="76">
        <f>HYPERLINK("https://bluetooth.atlassian.net/browse/ES-3085",3085)</f>
        <v>3085</v>
      </c>
      <c r="B13" s="38" t="s">
        <v>630</v>
      </c>
      <c r="C13" s="38">
        <v>1.1000000000000001</v>
      </c>
      <c r="D13" s="38" t="s">
        <v>198</v>
      </c>
      <c r="E13" s="117" t="s">
        <v>188</v>
      </c>
      <c r="F13" s="112" t="s">
        <v>1</v>
      </c>
      <c r="G13" s="115"/>
      <c r="H13" s="46"/>
      <c r="I13" s="119"/>
      <c r="J13" s="38" t="s">
        <v>199</v>
      </c>
    </row>
    <row r="14" spans="1:10" s="2" customFormat="1" ht="13.5" thickBot="1" x14ac:dyDescent="0.45">
      <c r="A14" s="35">
        <f>HYPERLINK("https://bluetooth.atlassian.net/browse/ES-3944",3944)</f>
        <v>3944</v>
      </c>
      <c r="B14" s="36" t="s">
        <v>619</v>
      </c>
      <c r="C14" s="36">
        <v>1.2</v>
      </c>
      <c r="D14" s="36" t="s">
        <v>200</v>
      </c>
      <c r="E14" s="116" t="s">
        <v>5</v>
      </c>
      <c r="F14" s="118" t="s">
        <v>1</v>
      </c>
      <c r="G14" s="36"/>
      <c r="H14" s="35"/>
      <c r="I14" s="36"/>
      <c r="J14" s="36"/>
    </row>
    <row r="15" spans="1:10" s="2" customFormat="1" ht="13.5" thickBot="1" x14ac:dyDescent="0.45">
      <c r="A15" s="76">
        <f>HYPERLINK("https://bluetooth.atlassian.net/browse/ES-4143",4143)</f>
        <v>4143</v>
      </c>
      <c r="B15" s="38" t="s">
        <v>619</v>
      </c>
      <c r="C15" s="38">
        <v>1.3</v>
      </c>
      <c r="D15" s="38" t="s">
        <v>201</v>
      </c>
      <c r="E15" s="117" t="s">
        <v>5</v>
      </c>
      <c r="F15" s="112" t="s">
        <v>1</v>
      </c>
      <c r="G15" s="115"/>
      <c r="H15" s="38"/>
      <c r="I15" s="119"/>
      <c r="J15" s="38"/>
    </row>
    <row r="16" spans="1:10" s="2" customFormat="1" ht="27.95" customHeight="1" thickBot="1" x14ac:dyDescent="0.45">
      <c r="A16" s="35">
        <f>HYPERLINK("https://bluetooth.atlassian.net/browse/ES-5557",5557)</f>
        <v>5557</v>
      </c>
      <c r="B16" s="36" t="s">
        <v>619</v>
      </c>
      <c r="C16" s="36">
        <v>1.3</v>
      </c>
      <c r="D16" s="36" t="s">
        <v>202</v>
      </c>
      <c r="E16" s="116" t="s">
        <v>188</v>
      </c>
      <c r="F16" s="118" t="s">
        <v>1</v>
      </c>
      <c r="G16" s="36"/>
      <c r="H16" s="35"/>
      <c r="I16" s="36"/>
      <c r="J16" s="36"/>
    </row>
    <row r="17" spans="1:10" ht="15.75" customHeight="1" x14ac:dyDescent="0.35">
      <c r="A17" s="40"/>
      <c r="B17" s="40"/>
      <c r="C17" s="40"/>
      <c r="D17" s="41"/>
      <c r="E17" s="41"/>
      <c r="F17" s="42"/>
      <c r="G17" s="42"/>
      <c r="H17" s="42"/>
      <c r="I17" s="42"/>
      <c r="J17" s="41"/>
    </row>
  </sheetData>
  <mergeCells count="11">
    <mergeCell ref="G7:I7"/>
    <mergeCell ref="A9:B9"/>
    <mergeCell ref="A2:I2"/>
    <mergeCell ref="A3:I3"/>
    <mergeCell ref="D4:F4"/>
    <mergeCell ref="D5:F5"/>
    <mergeCell ref="D6:F6"/>
    <mergeCell ref="D7:F7"/>
    <mergeCell ref="G4:I4"/>
    <mergeCell ref="G5:I5"/>
    <mergeCell ref="G6:I6"/>
  </mergeCells>
  <conditionalFormatting sqref="F12:F16">
    <cfRule type="cellIs" dxfId="15" priority="1" operator="greaterThan">
      <formula>"Yes"</formula>
    </cfRule>
  </conditionalFormatting>
  <dataValidations count="7">
    <dataValidation type="list" allowBlank="1" sqref="I11" xr:uid="{00000000-0002-0000-0A00-000000000000}">
      <formula1>#REF!</formula1>
    </dataValidation>
    <dataValidation type="list" allowBlank="1" sqref="F11:H11" xr:uid="{A5A6FDA5-C833-4424-B81C-199F3E65BC78}">
      <formula1>#REF!</formula1>
    </dataValidation>
    <dataValidation allowBlank="1" sqref="H12:H16" xr:uid="{BD45E852-5079-40A4-9FAC-191FDA559F1F}"/>
    <dataValidation type="list" allowBlank="1" showInputMessage="1" showErrorMessage="1" sqref="E12:E16" xr:uid="{39ED914E-D33B-44CF-AFC4-B4FF2B236F6E}">
      <formula1>"Editorial,1/Technical Low,2/Technical Medium,3/Technical High,4/Technical Critical,Not Categorized"</formula1>
    </dataValidation>
    <dataValidation type="list" allowBlank="1" sqref="F12:F16" xr:uid="{CA916C0E-4BB2-4B8B-AFFB-BBA258BB62BD}">
      <formula1>"No,Yes - doesn't need to wait for erratum,Yes - tied to spec change,Not Reviewed"</formula1>
    </dataValidation>
    <dataValidation type="list" allowBlank="1" showInputMessage="1" showErrorMessage="1" sqref="G12:G16" xr:uid="{8939B5EA-1A12-4998-84F1-BA8C4D53E2BE}">
      <formula1>"1,2,3,4,Not Categorized"</formula1>
    </dataValidation>
    <dataValidation type="list" allowBlank="1" sqref="I12:I16" xr:uid="{62CA8BD2-C684-4BD8-9137-82F8F57CE90D}">
      <formula1>"Open,Approved,Rejected,Released"</formula1>
    </dataValidation>
  </dataValidations>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J13"/>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7.53125" customWidth="1"/>
  </cols>
  <sheetData>
    <row r="1" spans="1:10" ht="28.5" customHeight="1" thickBot="1" x14ac:dyDescent="0.65">
      <c r="A1" s="19" t="s">
        <v>203</v>
      </c>
      <c r="B1" s="25"/>
      <c r="C1" s="25"/>
      <c r="D1" s="3"/>
      <c r="E1" s="3"/>
      <c r="F1" s="28"/>
      <c r="G1" s="28"/>
      <c r="H1" s="28"/>
      <c r="I1" s="28"/>
      <c r="J1" s="3"/>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31.7" customHeight="1" thickBot="1" x14ac:dyDescent="0.5">
      <c r="A4" s="30" t="s">
        <v>8</v>
      </c>
      <c r="B4" s="31" t="s">
        <v>6</v>
      </c>
      <c r="C4" s="30" t="s">
        <v>541</v>
      </c>
      <c r="D4" s="175" t="s">
        <v>9</v>
      </c>
      <c r="E4" s="176"/>
      <c r="F4" s="177"/>
      <c r="G4" s="175" t="s">
        <v>550</v>
      </c>
      <c r="H4" s="176"/>
      <c r="I4" s="177"/>
      <c r="J4" s="29"/>
    </row>
    <row r="5" spans="1:10" s="65" customFormat="1" ht="26.25" customHeight="1" thickBot="1" x14ac:dyDescent="0.4">
      <c r="A5" s="64" t="s">
        <v>204</v>
      </c>
      <c r="B5" s="64">
        <v>39188</v>
      </c>
      <c r="C5" s="91" t="s">
        <v>14</v>
      </c>
      <c r="D5" s="169" t="s">
        <v>136</v>
      </c>
      <c r="E5" s="170"/>
      <c r="F5" s="171"/>
      <c r="G5" s="172" t="s">
        <v>206</v>
      </c>
      <c r="H5" s="173"/>
      <c r="I5" s="174"/>
      <c r="J5" s="29"/>
    </row>
    <row r="6" spans="1:10" s="5" customFormat="1" ht="66" customHeight="1" thickBot="1" x14ac:dyDescent="0.5">
      <c r="A6" s="24" t="s">
        <v>205</v>
      </c>
      <c r="B6" s="24">
        <v>41114</v>
      </c>
      <c r="C6" s="24" t="s">
        <v>15</v>
      </c>
      <c r="D6" s="181" t="s">
        <v>207</v>
      </c>
      <c r="E6" s="182"/>
      <c r="F6" s="183"/>
      <c r="G6" s="181" t="s">
        <v>211</v>
      </c>
      <c r="H6" s="182"/>
      <c r="I6" s="183"/>
      <c r="J6" s="29"/>
    </row>
    <row r="7" spans="1:10" s="5" customFormat="1" ht="14.25" x14ac:dyDescent="0.45">
      <c r="A7" s="29"/>
      <c r="B7" s="29"/>
      <c r="C7" s="29"/>
      <c r="D7" s="29"/>
      <c r="E7" s="29"/>
      <c r="F7" s="29"/>
      <c r="G7" s="29"/>
      <c r="H7" s="29"/>
      <c r="I7" s="29"/>
      <c r="J7" s="29"/>
    </row>
    <row r="8" spans="1:10" ht="21" customHeight="1" x14ac:dyDescent="0.4">
      <c r="A8" s="166" t="s">
        <v>7</v>
      </c>
      <c r="B8" s="166"/>
      <c r="C8" s="27"/>
      <c r="D8" s="3"/>
      <c r="E8" s="3"/>
      <c r="F8" s="28"/>
      <c r="G8" s="28"/>
      <c r="H8" s="28"/>
      <c r="I8" s="28"/>
      <c r="J8" s="3"/>
    </row>
    <row r="9" spans="1:10" ht="21" customHeight="1" thickBot="1" x14ac:dyDescent="0.45">
      <c r="A9" s="132" t="s">
        <v>660</v>
      </c>
      <c r="B9" s="133"/>
      <c r="C9" s="134"/>
      <c r="D9" s="132"/>
      <c r="E9" s="135"/>
      <c r="F9" s="136"/>
      <c r="G9" s="136"/>
      <c r="H9" s="136"/>
      <c r="I9" s="136"/>
      <c r="J9" s="135"/>
    </row>
    <row r="10" spans="1:10" s="2" customFormat="1" ht="26.65" thickBot="1" x14ac:dyDescent="0.45">
      <c r="A10" s="32" t="s">
        <v>208</v>
      </c>
      <c r="B10" s="32" t="s">
        <v>661</v>
      </c>
      <c r="C10" s="32" t="s">
        <v>605</v>
      </c>
      <c r="D10" s="33" t="s">
        <v>263</v>
      </c>
      <c r="E10" s="33" t="s">
        <v>662</v>
      </c>
      <c r="F10" s="34" t="s">
        <v>0</v>
      </c>
      <c r="G10" s="33" t="s">
        <v>663</v>
      </c>
      <c r="H10" s="34" t="s">
        <v>664</v>
      </c>
      <c r="I10" s="34" t="s">
        <v>3</v>
      </c>
      <c r="J10" s="33" t="s">
        <v>2</v>
      </c>
    </row>
    <row r="11" spans="1:10" s="2" customFormat="1" ht="38.65" thickBot="1" x14ac:dyDescent="0.45">
      <c r="A11" s="35">
        <f>HYPERLINK("https://bluetooth.atlassian.net/browse/ES-872",872)</f>
        <v>872</v>
      </c>
      <c r="B11" s="36" t="s">
        <v>620</v>
      </c>
      <c r="C11" s="123">
        <v>1</v>
      </c>
      <c r="D11" s="36" t="s">
        <v>212</v>
      </c>
      <c r="E11" s="116" t="s">
        <v>188</v>
      </c>
      <c r="F11" s="118" t="s">
        <v>604</v>
      </c>
      <c r="G11" s="36" t="s">
        <v>188</v>
      </c>
      <c r="H11" s="56" t="s">
        <v>118</v>
      </c>
      <c r="I11" s="36" t="s">
        <v>42</v>
      </c>
      <c r="J11" s="55" t="s">
        <v>646</v>
      </c>
    </row>
    <row r="12" spans="1:10" s="2" customFormat="1" ht="25.9" thickBot="1" x14ac:dyDescent="0.45">
      <c r="A12" s="76">
        <f>HYPERLINK("https://bluetooth.atlassian.net/browse/ES-928",928)</f>
        <v>928</v>
      </c>
      <c r="B12" s="38" t="s">
        <v>620</v>
      </c>
      <c r="C12" s="124">
        <v>1</v>
      </c>
      <c r="D12" s="38" t="s">
        <v>213</v>
      </c>
      <c r="E12" s="117" t="s">
        <v>188</v>
      </c>
      <c r="F12" s="112" t="s">
        <v>1</v>
      </c>
      <c r="G12" s="115"/>
      <c r="H12" s="46"/>
      <c r="I12" s="119"/>
      <c r="J12" s="38"/>
    </row>
    <row r="13" spans="1:10" ht="15.75" customHeight="1" x14ac:dyDescent="0.35">
      <c r="A13" s="20"/>
      <c r="B13" s="20"/>
      <c r="C13" s="20"/>
      <c r="D13" s="21"/>
      <c r="E13" s="21"/>
      <c r="F13" s="22"/>
      <c r="G13" s="22"/>
      <c r="H13" s="22"/>
      <c r="I13" s="22"/>
      <c r="J13" s="21"/>
    </row>
  </sheetData>
  <mergeCells count="9">
    <mergeCell ref="A2:I2"/>
    <mergeCell ref="A3:I3"/>
    <mergeCell ref="A8:B8"/>
    <mergeCell ref="D4:F4"/>
    <mergeCell ref="D5:F5"/>
    <mergeCell ref="D6:F6"/>
    <mergeCell ref="G4:I4"/>
    <mergeCell ref="G5:I5"/>
    <mergeCell ref="G6:I6"/>
  </mergeCells>
  <conditionalFormatting sqref="F11:F12">
    <cfRule type="cellIs" dxfId="14" priority="1" operator="greaterThan">
      <formula>"Yes"</formula>
    </cfRule>
  </conditionalFormatting>
  <dataValidations count="7">
    <dataValidation type="list" allowBlank="1" sqref="I10" xr:uid="{00000000-0002-0000-0B00-000000000000}">
      <formula1>#REF!</formula1>
    </dataValidation>
    <dataValidation type="list" allowBlank="1" sqref="F10:H10" xr:uid="{011DDA94-E201-4919-B6ED-F3EA9C106A2A}">
      <formula1>#REF!</formula1>
    </dataValidation>
    <dataValidation allowBlank="1" sqref="H11:H12" xr:uid="{6EAA934A-D352-4D63-9AAD-5089BAAE7D3F}"/>
    <dataValidation type="list" allowBlank="1" showInputMessage="1" showErrorMessage="1" sqref="E11:E12" xr:uid="{893C903E-813F-4D99-8890-F2318041B071}">
      <formula1>"Editorial,1/Technical Low,2/Technical Medium,3/Technical High,4/Technical Critical,Not Categorized"</formula1>
    </dataValidation>
    <dataValidation type="list" allowBlank="1" sqref="F11:F12" xr:uid="{7EE55BA0-D9DD-4033-A037-5058ACD1B391}">
      <formula1>"No,Yes - doesn't need to wait for erratum,Yes - tied to spec change,Not Reviewed"</formula1>
    </dataValidation>
    <dataValidation type="list" allowBlank="1" showInputMessage="1" showErrorMessage="1" sqref="G11:G12" xr:uid="{559DB434-9BA6-4499-992D-B4057514C669}">
      <formula1>"1,2,3,4,Not Categorized"</formula1>
    </dataValidation>
    <dataValidation type="list" allowBlank="1" sqref="I11:I12" xr:uid="{E209FD75-784B-4A5F-BE29-9267F411D853}">
      <formula1>"Open,Approved,Rejected,Released"</formula1>
    </dataValidation>
  </dataValidations>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J17"/>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9.53125" customWidth="1"/>
  </cols>
  <sheetData>
    <row r="1" spans="1:10" ht="28.5" customHeight="1" thickBot="1" x14ac:dyDescent="0.65">
      <c r="A1" s="19" t="s">
        <v>214</v>
      </c>
      <c r="B1" s="25"/>
      <c r="C1" s="25"/>
      <c r="D1" s="3"/>
      <c r="E1" s="3"/>
      <c r="F1" s="28"/>
      <c r="G1" s="28"/>
      <c r="H1" s="28"/>
      <c r="I1" s="28"/>
      <c r="J1" s="3"/>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30" customHeight="1" thickBot="1" x14ac:dyDescent="0.5">
      <c r="A4" s="30" t="s">
        <v>8</v>
      </c>
      <c r="B4" s="31" t="s">
        <v>6</v>
      </c>
      <c r="C4" s="30" t="s">
        <v>541</v>
      </c>
      <c r="D4" s="175" t="s">
        <v>9</v>
      </c>
      <c r="E4" s="176"/>
      <c r="F4" s="177"/>
      <c r="G4" s="175" t="s">
        <v>550</v>
      </c>
      <c r="H4" s="176"/>
      <c r="I4" s="177"/>
      <c r="J4" s="29"/>
    </row>
    <row r="5" spans="1:10" s="5" customFormat="1" ht="39" customHeight="1" thickBot="1" x14ac:dyDescent="0.5">
      <c r="A5" s="24" t="s">
        <v>215</v>
      </c>
      <c r="B5" s="24">
        <v>40416</v>
      </c>
      <c r="C5" s="24" t="s">
        <v>14</v>
      </c>
      <c r="D5" s="181" t="s">
        <v>218</v>
      </c>
      <c r="E5" s="182"/>
      <c r="F5" s="183"/>
      <c r="G5" s="172" t="s">
        <v>221</v>
      </c>
      <c r="H5" s="173"/>
      <c r="I5" s="174"/>
      <c r="J5" s="29"/>
    </row>
    <row r="6" spans="1:10" s="65" customFormat="1" ht="13.5" customHeight="1" thickBot="1" x14ac:dyDescent="0.4">
      <c r="A6" s="64" t="s">
        <v>216</v>
      </c>
      <c r="B6" s="64">
        <v>43480</v>
      </c>
      <c r="C6" s="91" t="s">
        <v>556</v>
      </c>
      <c r="D6" s="172" t="s">
        <v>219</v>
      </c>
      <c r="E6" s="173"/>
      <c r="F6" s="174"/>
      <c r="G6" s="169" t="s">
        <v>91</v>
      </c>
      <c r="H6" s="170"/>
      <c r="I6" s="171"/>
      <c r="J6" s="29"/>
    </row>
    <row r="7" spans="1:10" s="65" customFormat="1" ht="13.5" customHeight="1" thickBot="1" x14ac:dyDescent="0.4">
      <c r="A7" s="64" t="s">
        <v>217</v>
      </c>
      <c r="B7" s="64">
        <v>43480</v>
      </c>
      <c r="C7" s="64" t="s">
        <v>15</v>
      </c>
      <c r="D7" s="172" t="s">
        <v>220</v>
      </c>
      <c r="E7" s="173"/>
      <c r="F7" s="174"/>
      <c r="G7" s="172" t="s">
        <v>92</v>
      </c>
      <c r="H7" s="173"/>
      <c r="I7" s="174"/>
      <c r="J7" s="29"/>
    </row>
    <row r="8" spans="1:10" s="5" customFormat="1" ht="14.25" x14ac:dyDescent="0.45">
      <c r="A8" s="29"/>
      <c r="B8" s="29"/>
      <c r="C8" s="29"/>
      <c r="D8" s="29"/>
      <c r="E8" s="29"/>
      <c r="F8" s="29"/>
      <c r="G8" s="29"/>
      <c r="H8" s="29"/>
      <c r="I8" s="29"/>
      <c r="J8" s="29"/>
    </row>
    <row r="9" spans="1:10" ht="21" customHeight="1" x14ac:dyDescent="0.4">
      <c r="A9" s="187" t="s">
        <v>7</v>
      </c>
      <c r="B9" s="187"/>
      <c r="C9" s="134"/>
      <c r="D9" s="135"/>
      <c r="E9" s="135"/>
      <c r="F9" s="136"/>
      <c r="G9" s="136"/>
      <c r="H9" s="136"/>
      <c r="I9" s="136"/>
      <c r="J9" s="3"/>
    </row>
    <row r="10" spans="1:10" ht="21" customHeight="1" thickBot="1" x14ac:dyDescent="0.45">
      <c r="A10" s="132" t="s">
        <v>660</v>
      </c>
      <c r="B10" s="133"/>
      <c r="C10" s="134"/>
      <c r="D10" s="132"/>
      <c r="E10" s="135"/>
      <c r="F10" s="136"/>
      <c r="G10" s="136"/>
      <c r="H10" s="136"/>
      <c r="I10" s="136"/>
      <c r="J10" s="3"/>
    </row>
    <row r="11" spans="1:10" s="2" customFormat="1" ht="26.65" thickBot="1" x14ac:dyDescent="0.45">
      <c r="A11" s="32" t="s">
        <v>208</v>
      </c>
      <c r="B11" s="32" t="s">
        <v>661</v>
      </c>
      <c r="C11" s="32" t="s">
        <v>605</v>
      </c>
      <c r="D11" s="33" t="s">
        <v>263</v>
      </c>
      <c r="E11" s="33" t="s">
        <v>662</v>
      </c>
      <c r="F11" s="34" t="s">
        <v>0</v>
      </c>
      <c r="G11" s="33" t="s">
        <v>663</v>
      </c>
      <c r="H11" s="34" t="s">
        <v>664</v>
      </c>
      <c r="I11" s="34" t="s">
        <v>3</v>
      </c>
      <c r="J11" s="33" t="s">
        <v>2</v>
      </c>
    </row>
    <row r="12" spans="1:10" s="2" customFormat="1" ht="25.9" thickBot="1" x14ac:dyDescent="0.45">
      <c r="A12" s="35">
        <f>HYPERLINK("https://bluetooth.atlassian.net/browse/ES-330",330)</f>
        <v>330</v>
      </c>
      <c r="B12" s="36" t="s">
        <v>621</v>
      </c>
      <c r="C12" s="36">
        <v>2.1</v>
      </c>
      <c r="D12" s="36" t="s">
        <v>222</v>
      </c>
      <c r="E12" s="116" t="s">
        <v>188</v>
      </c>
      <c r="F12" s="118" t="s">
        <v>1</v>
      </c>
      <c r="G12" s="36"/>
      <c r="H12" s="35"/>
      <c r="I12" s="36"/>
      <c r="J12" s="36"/>
    </row>
    <row r="13" spans="1:10" s="2" customFormat="1" ht="27" customHeight="1" thickBot="1" x14ac:dyDescent="0.45">
      <c r="A13" s="76">
        <f>HYPERLINK("https://bluetooth.atlassian.net/browse/ES-903",903)</f>
        <v>903</v>
      </c>
      <c r="B13" s="38" t="s">
        <v>621</v>
      </c>
      <c r="C13" s="38">
        <v>1.1000000000000001</v>
      </c>
      <c r="D13" s="38" t="s">
        <v>223</v>
      </c>
      <c r="E13" s="117" t="s">
        <v>188</v>
      </c>
      <c r="F13" s="112" t="s">
        <v>1</v>
      </c>
      <c r="G13" s="115"/>
      <c r="H13" s="46"/>
      <c r="I13" s="119"/>
      <c r="J13" s="38"/>
    </row>
    <row r="14" spans="1:10" s="2" customFormat="1" ht="27" customHeight="1" thickBot="1" x14ac:dyDescent="0.45">
      <c r="A14" s="35">
        <f>HYPERLINK("https://bluetooth.atlassian.net/browse/ES-3468",3468)</f>
        <v>3468</v>
      </c>
      <c r="B14" s="36" t="s">
        <v>621</v>
      </c>
      <c r="C14" s="36">
        <v>2.1</v>
      </c>
      <c r="D14" s="36" t="s">
        <v>224</v>
      </c>
      <c r="E14" s="116" t="s">
        <v>188</v>
      </c>
      <c r="F14" s="118" t="s">
        <v>1</v>
      </c>
      <c r="G14" s="36"/>
      <c r="H14" s="35"/>
      <c r="I14" s="36"/>
      <c r="J14" s="36"/>
    </row>
    <row r="15" spans="1:10" s="2" customFormat="1" ht="38.65" thickBot="1" x14ac:dyDescent="0.45">
      <c r="A15" s="76">
        <f>HYPERLINK("https://bluetooth.atlassian.net/browse/ES-3547",3547)</f>
        <v>3547</v>
      </c>
      <c r="B15" s="38" t="s">
        <v>621</v>
      </c>
      <c r="C15" s="38">
        <v>2.1</v>
      </c>
      <c r="D15" s="38" t="s">
        <v>225</v>
      </c>
      <c r="E15" s="117" t="s">
        <v>188</v>
      </c>
      <c r="F15" s="112" t="s">
        <v>601</v>
      </c>
      <c r="G15" s="38" t="s">
        <v>92</v>
      </c>
      <c r="H15" s="38" t="s">
        <v>92</v>
      </c>
      <c r="I15" s="119" t="s">
        <v>42</v>
      </c>
      <c r="J15" s="38" t="s">
        <v>647</v>
      </c>
    </row>
    <row r="16" spans="1:10" ht="25.9" thickBot="1" x14ac:dyDescent="0.4">
      <c r="A16" s="35">
        <f>HYPERLINK("https://bluetooth.atlassian.net/browse/ES-4128",4128)</f>
        <v>4128</v>
      </c>
      <c r="B16" s="36" t="s">
        <v>621</v>
      </c>
      <c r="C16" s="123">
        <v>2</v>
      </c>
      <c r="D16" s="36" t="s">
        <v>226</v>
      </c>
      <c r="E16" s="116" t="s">
        <v>188</v>
      </c>
      <c r="F16" s="118" t="s">
        <v>1</v>
      </c>
      <c r="G16" s="36"/>
      <c r="H16" s="35"/>
      <c r="I16" s="36"/>
      <c r="J16" s="36"/>
    </row>
    <row r="17" spans="1:10" ht="38.65" thickBot="1" x14ac:dyDescent="0.4">
      <c r="A17" s="76">
        <f>HYPERLINK("https://bluetooth.atlassian.net/browse/ES-4231",4231)</f>
        <v>4231</v>
      </c>
      <c r="B17" s="38" t="s">
        <v>621</v>
      </c>
      <c r="C17" s="38">
        <v>2.1</v>
      </c>
      <c r="D17" s="38" t="s">
        <v>228</v>
      </c>
      <c r="E17" s="117" t="s">
        <v>188</v>
      </c>
      <c r="F17" s="112" t="s">
        <v>1</v>
      </c>
      <c r="G17" s="115"/>
      <c r="H17" s="38"/>
      <c r="I17" s="119"/>
      <c r="J17" s="38" t="s">
        <v>227</v>
      </c>
    </row>
  </sheetData>
  <mergeCells count="11">
    <mergeCell ref="A2:I2"/>
    <mergeCell ref="A3:I3"/>
    <mergeCell ref="G6:I6"/>
    <mergeCell ref="A9:B9"/>
    <mergeCell ref="D4:F4"/>
    <mergeCell ref="D5:F5"/>
    <mergeCell ref="D6:F6"/>
    <mergeCell ref="D7:F7"/>
    <mergeCell ref="G4:I4"/>
    <mergeCell ref="G5:I5"/>
    <mergeCell ref="G7:I7"/>
  </mergeCells>
  <conditionalFormatting sqref="F12:F17">
    <cfRule type="cellIs" dxfId="13" priority="1" operator="greaterThan">
      <formula>"Yes"</formula>
    </cfRule>
  </conditionalFormatting>
  <dataValidations count="7">
    <dataValidation type="list" allowBlank="1" sqref="G15 I11" xr:uid="{00000000-0002-0000-0C00-000000000000}">
      <formula1>#REF!</formula1>
    </dataValidation>
    <dataValidation type="list" allowBlank="1" sqref="F11:H11" xr:uid="{88EC740C-6267-4AD5-B635-3ED707C3F5FC}">
      <formula1>#REF!</formula1>
    </dataValidation>
    <dataValidation allowBlank="1" sqref="H12:H17" xr:uid="{213511E8-F01E-4502-88FD-CCE3DA2B7F43}"/>
    <dataValidation type="list" allowBlank="1" showInputMessage="1" showErrorMessage="1" sqref="E12:E17" xr:uid="{0B1D90D6-2940-439E-B7A3-408AB1D06DA8}">
      <formula1>"Editorial,1/Technical Low,2/Technical Medium,3/Technical High,4/Technical Critical,Not Categorized"</formula1>
    </dataValidation>
    <dataValidation type="list" allowBlank="1" sqref="F12:F17" xr:uid="{3CB93626-41D5-44C8-9E6F-BD3F7ABC88DA}">
      <formula1>"No,Yes - doesn't need to wait for erratum,Yes - tied to spec change,Not Reviewed"</formula1>
    </dataValidation>
    <dataValidation type="list" allowBlank="1" showInputMessage="1" showErrorMessage="1" sqref="G12:G14 G16:G17" xr:uid="{CA1BC46A-F1BC-45FD-BC75-1575DF513A88}">
      <formula1>"1,2,3,4,Not Categorized"</formula1>
    </dataValidation>
    <dataValidation type="list" allowBlank="1" sqref="I12:I17" xr:uid="{B537CB60-EE2E-44C3-A2C0-129A4E0B8D00}">
      <formula1>"Open,Approved,Rejected,Released"</formula1>
    </dataValidation>
  </dataValidations>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J12"/>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7.53125" customWidth="1"/>
  </cols>
  <sheetData>
    <row r="1" spans="1:10" ht="28.5" customHeight="1" thickBot="1" x14ac:dyDescent="0.65">
      <c r="A1" s="19" t="s">
        <v>229</v>
      </c>
      <c r="B1" s="25"/>
      <c r="C1" s="25"/>
      <c r="D1" s="3"/>
      <c r="E1" s="3"/>
      <c r="F1" s="28"/>
      <c r="G1" s="28"/>
      <c r="H1" s="28"/>
      <c r="I1" s="28"/>
      <c r="J1" s="3"/>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27" customHeight="1" thickBot="1" x14ac:dyDescent="0.5">
      <c r="A4" s="30" t="s">
        <v>8</v>
      </c>
      <c r="B4" s="31" t="s">
        <v>6</v>
      </c>
      <c r="C4" s="30" t="s">
        <v>541</v>
      </c>
      <c r="D4" s="175" t="s">
        <v>9</v>
      </c>
      <c r="E4" s="176"/>
      <c r="F4" s="177"/>
      <c r="G4" s="175" t="s">
        <v>550</v>
      </c>
      <c r="H4" s="176"/>
      <c r="I4" s="177"/>
      <c r="J4" s="29"/>
    </row>
    <row r="5" spans="1:10" s="65" customFormat="1" ht="13.5" customHeight="1" thickBot="1" x14ac:dyDescent="0.4">
      <c r="A5" s="64" t="s">
        <v>230</v>
      </c>
      <c r="B5" s="64">
        <v>42353</v>
      </c>
      <c r="C5" s="64" t="s">
        <v>15</v>
      </c>
      <c r="D5" s="172" t="s">
        <v>231</v>
      </c>
      <c r="E5" s="173"/>
      <c r="F5" s="174"/>
      <c r="G5" s="172" t="s">
        <v>92</v>
      </c>
      <c r="H5" s="173"/>
      <c r="I5" s="174"/>
      <c r="J5" s="29"/>
    </row>
    <row r="6" spans="1:10" s="5" customFormat="1" ht="14.25" x14ac:dyDescent="0.45">
      <c r="A6" s="29"/>
      <c r="B6" s="29"/>
      <c r="C6" s="29"/>
      <c r="D6" s="29"/>
      <c r="E6" s="29"/>
      <c r="F6" s="29"/>
      <c r="G6" s="29"/>
      <c r="H6" s="29"/>
      <c r="I6" s="29"/>
      <c r="J6" s="29"/>
    </row>
    <row r="7" spans="1:10" ht="21" customHeight="1" x14ac:dyDescent="0.4">
      <c r="A7" s="187" t="s">
        <v>7</v>
      </c>
      <c r="B7" s="187"/>
      <c r="C7" s="134"/>
      <c r="D7" s="135"/>
      <c r="E7" s="135"/>
      <c r="F7" s="136"/>
      <c r="G7" s="136"/>
      <c r="H7" s="136"/>
      <c r="I7" s="136"/>
      <c r="J7" s="3"/>
    </row>
    <row r="8" spans="1:10" ht="21" customHeight="1" thickBot="1" x14ac:dyDescent="0.45">
      <c r="A8" s="132" t="s">
        <v>660</v>
      </c>
      <c r="B8" s="133"/>
      <c r="C8" s="134"/>
      <c r="D8" s="132"/>
      <c r="E8" s="135"/>
      <c r="F8" s="136"/>
      <c r="G8" s="136"/>
      <c r="H8" s="136"/>
      <c r="I8" s="136"/>
      <c r="J8" s="3"/>
    </row>
    <row r="9" spans="1:10" s="2" customFormat="1" ht="26.65" thickBot="1" x14ac:dyDescent="0.45">
      <c r="A9" s="32" t="s">
        <v>208</v>
      </c>
      <c r="B9" s="32" t="s">
        <v>661</v>
      </c>
      <c r="C9" s="32" t="s">
        <v>605</v>
      </c>
      <c r="D9" s="33" t="s">
        <v>263</v>
      </c>
      <c r="E9" s="33" t="s">
        <v>662</v>
      </c>
      <c r="F9" s="34" t="s">
        <v>0</v>
      </c>
      <c r="G9" s="33" t="s">
        <v>663</v>
      </c>
      <c r="H9" s="34" t="s">
        <v>664</v>
      </c>
      <c r="I9" s="34" t="s">
        <v>3</v>
      </c>
      <c r="J9" s="33" t="s">
        <v>2</v>
      </c>
    </row>
    <row r="10" spans="1:10" s="2" customFormat="1" ht="13.5" thickBot="1" x14ac:dyDescent="0.45">
      <c r="A10" s="35">
        <f>HYPERLINK("https://bluetooth.atlassian.net/browse/ES-6183",6183)</f>
        <v>6183</v>
      </c>
      <c r="B10" s="36" t="s">
        <v>622</v>
      </c>
      <c r="C10" s="123">
        <v>1</v>
      </c>
      <c r="D10" s="36" t="s">
        <v>232</v>
      </c>
      <c r="E10" s="116" t="s">
        <v>5</v>
      </c>
      <c r="F10" s="118" t="s">
        <v>1</v>
      </c>
      <c r="G10" s="36"/>
      <c r="H10" s="35"/>
      <c r="I10" s="36"/>
      <c r="J10" s="36"/>
    </row>
    <row r="11" spans="1:10" s="2" customFormat="1" ht="13.5" thickBot="1" x14ac:dyDescent="0.45">
      <c r="A11" s="76">
        <f>HYPERLINK("https://bluetooth.atlassian.net/browse/ES-6184",6184)</f>
        <v>6184</v>
      </c>
      <c r="B11" s="38" t="s">
        <v>622</v>
      </c>
      <c r="C11" s="124">
        <v>1</v>
      </c>
      <c r="D11" s="38" t="s">
        <v>232</v>
      </c>
      <c r="E11" s="117" t="s">
        <v>5</v>
      </c>
      <c r="F11" s="112" t="s">
        <v>1</v>
      </c>
      <c r="G11" s="115"/>
      <c r="H11" s="46"/>
      <c r="I11" s="119"/>
      <c r="J11" s="38"/>
    </row>
    <row r="12" spans="1:10" s="2" customFormat="1" ht="25.9" thickBot="1" x14ac:dyDescent="0.45">
      <c r="A12" s="35">
        <f>HYPERLINK("https://bluetooth.atlassian.net/browse/ES-6185",6185)</f>
        <v>6185</v>
      </c>
      <c r="B12" s="36" t="s">
        <v>622</v>
      </c>
      <c r="C12" s="123">
        <v>1</v>
      </c>
      <c r="D12" s="36" t="s">
        <v>233</v>
      </c>
      <c r="E12" s="116" t="s">
        <v>5</v>
      </c>
      <c r="F12" s="118" t="s">
        <v>1</v>
      </c>
      <c r="G12" s="36"/>
      <c r="H12" s="35"/>
      <c r="I12" s="36"/>
      <c r="J12" s="36"/>
    </row>
  </sheetData>
  <mergeCells count="7">
    <mergeCell ref="A2:I2"/>
    <mergeCell ref="A3:I3"/>
    <mergeCell ref="A7:B7"/>
    <mergeCell ref="D4:F4"/>
    <mergeCell ref="D5:F5"/>
    <mergeCell ref="G4:I4"/>
    <mergeCell ref="G5:I5"/>
  </mergeCells>
  <conditionalFormatting sqref="F10:F12">
    <cfRule type="cellIs" dxfId="12" priority="1" operator="greaterThan">
      <formula>"Yes"</formula>
    </cfRule>
  </conditionalFormatting>
  <dataValidations count="7">
    <dataValidation type="list" allowBlank="1" sqref="I9" xr:uid="{00000000-0002-0000-0D00-000000000000}">
      <formula1>#REF!</formula1>
    </dataValidation>
    <dataValidation type="list" allowBlank="1" sqref="F9:H9" xr:uid="{18688027-43E9-4E83-B95C-B280474CF810}">
      <formula1>#REF!</formula1>
    </dataValidation>
    <dataValidation allowBlank="1" sqref="H10:H12" xr:uid="{4A65F382-95F0-47ED-8064-BC4A74589BD6}"/>
    <dataValidation type="list" allowBlank="1" showInputMessage="1" showErrorMessage="1" sqref="E10:E12" xr:uid="{41CE0C4B-05E2-45D8-94E8-69FB17DF53B2}">
      <formula1>"Editorial,1/Technical Low,2/Technical Medium,3/Technical High,4/Technical Critical,Not Categorized"</formula1>
    </dataValidation>
    <dataValidation type="list" allowBlank="1" sqref="F10:F12" xr:uid="{25123BDE-42A1-4EE3-A39E-B5CC94E39A8C}">
      <formula1>"No,Yes - doesn't need to wait for erratum,Yes - tied to spec change,Not Reviewed"</formula1>
    </dataValidation>
    <dataValidation type="list" allowBlank="1" sqref="I10:I12" xr:uid="{00B18DB7-DF27-49E9-B2DC-6DADF5011E03}">
      <formula1>"Open,Approved,Rejected,Released"</formula1>
    </dataValidation>
    <dataValidation type="list" allowBlank="1" showInputMessage="1" showErrorMessage="1" sqref="G10:G12" xr:uid="{9277E045-C2C0-4E5E-9644-66A7255B6442}">
      <formula1>"1,2,3,4,Not Categorized"</formula1>
    </dataValidation>
  </dataValidations>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J9"/>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9.265625" customWidth="1"/>
  </cols>
  <sheetData>
    <row r="1" spans="1:10" ht="28.5" customHeight="1" thickBot="1" x14ac:dyDescent="0.65">
      <c r="A1" s="19" t="s">
        <v>234</v>
      </c>
      <c r="B1" s="25"/>
      <c r="C1" s="25"/>
      <c r="D1" s="3"/>
      <c r="E1" s="3"/>
      <c r="F1" s="28"/>
      <c r="G1" s="28"/>
      <c r="H1" s="28"/>
      <c r="I1" s="28"/>
      <c r="J1" s="3"/>
    </row>
    <row r="2" spans="1:10" ht="66.75" customHeight="1" thickBot="1" x14ac:dyDescent="0.4">
      <c r="A2" s="163" t="s">
        <v>539</v>
      </c>
      <c r="B2" s="164"/>
      <c r="C2" s="164"/>
      <c r="D2" s="164"/>
      <c r="E2" s="164"/>
      <c r="F2" s="164"/>
      <c r="G2" s="164"/>
      <c r="H2" s="164"/>
      <c r="I2" s="165"/>
    </row>
    <row r="3" spans="1:10" ht="51.95" customHeight="1" thickBot="1" x14ac:dyDescent="0.4">
      <c r="A3" s="163" t="s">
        <v>540</v>
      </c>
      <c r="B3" s="164"/>
      <c r="C3" s="164"/>
      <c r="D3" s="164"/>
      <c r="E3" s="164"/>
      <c r="F3" s="164"/>
      <c r="G3" s="164"/>
      <c r="H3" s="164"/>
      <c r="I3" s="165"/>
    </row>
    <row r="4" spans="1:10" s="5" customFormat="1" ht="29.25" customHeight="1" thickBot="1" x14ac:dyDescent="0.5">
      <c r="A4" s="30" t="s">
        <v>8</v>
      </c>
      <c r="B4" s="31" t="s">
        <v>6</v>
      </c>
      <c r="C4" s="30" t="s">
        <v>541</v>
      </c>
      <c r="D4" s="175" t="s">
        <v>9</v>
      </c>
      <c r="E4" s="176"/>
      <c r="F4" s="177"/>
      <c r="G4" s="175" t="s">
        <v>550</v>
      </c>
      <c r="H4" s="176"/>
      <c r="I4" s="177"/>
      <c r="J4"/>
    </row>
    <row r="5" spans="1:10" s="65" customFormat="1" ht="26.25" customHeight="1" thickBot="1" x14ac:dyDescent="0.4">
      <c r="A5" s="64" t="s">
        <v>235</v>
      </c>
      <c r="B5" s="64">
        <v>38834</v>
      </c>
      <c r="C5" s="64" t="s">
        <v>15</v>
      </c>
      <c r="D5" s="172" t="s">
        <v>136</v>
      </c>
      <c r="E5" s="173"/>
      <c r="F5" s="174"/>
      <c r="G5" s="172" t="s">
        <v>640</v>
      </c>
      <c r="H5" s="173"/>
      <c r="I5" s="174"/>
      <c r="J5"/>
    </row>
    <row r="6" spans="1:10" s="5" customFormat="1" ht="14.25" x14ac:dyDescent="0.45">
      <c r="A6" s="29"/>
      <c r="B6" s="29"/>
      <c r="C6" s="29"/>
      <c r="D6" s="29"/>
      <c r="E6" s="29"/>
      <c r="F6" s="29"/>
      <c r="G6" s="29"/>
      <c r="H6" s="29"/>
      <c r="I6" s="29"/>
      <c r="J6"/>
    </row>
    <row r="7" spans="1:10" ht="21" customHeight="1" x14ac:dyDescent="0.4">
      <c r="A7" s="187" t="s">
        <v>7</v>
      </c>
      <c r="B7" s="187"/>
      <c r="C7" s="134"/>
      <c r="D7" s="135"/>
      <c r="E7" s="135"/>
      <c r="F7" s="136"/>
      <c r="G7" s="136"/>
      <c r="H7" s="136"/>
      <c r="I7" s="136"/>
    </row>
    <row r="8" spans="1:10" ht="21" customHeight="1" thickBot="1" x14ac:dyDescent="0.45">
      <c r="A8" s="132" t="s">
        <v>660</v>
      </c>
      <c r="B8" s="133"/>
      <c r="C8" s="134"/>
      <c r="D8" s="132"/>
      <c r="E8" s="135"/>
      <c r="F8" s="136"/>
      <c r="G8" s="136"/>
      <c r="H8" s="136"/>
      <c r="I8" s="136"/>
      <c r="J8" s="3"/>
    </row>
    <row r="9" spans="1:10" s="2" customFormat="1" ht="24.75" customHeight="1" thickBot="1" x14ac:dyDescent="0.45">
      <c r="A9" s="32" t="s">
        <v>208</v>
      </c>
      <c r="B9" s="32" t="s">
        <v>661</v>
      </c>
      <c r="C9" s="32" t="s">
        <v>605</v>
      </c>
      <c r="D9" s="33" t="s">
        <v>263</v>
      </c>
      <c r="E9" s="33" t="s">
        <v>662</v>
      </c>
      <c r="F9" s="34" t="s">
        <v>0</v>
      </c>
      <c r="G9" s="33" t="s">
        <v>663</v>
      </c>
      <c r="H9" s="34" t="s">
        <v>664</v>
      </c>
      <c r="I9" s="34" t="s">
        <v>3</v>
      </c>
      <c r="J9" s="33" t="s">
        <v>2</v>
      </c>
    </row>
  </sheetData>
  <mergeCells count="7">
    <mergeCell ref="A2:I2"/>
    <mergeCell ref="A3:I3"/>
    <mergeCell ref="A7:B7"/>
    <mergeCell ref="D4:F4"/>
    <mergeCell ref="D5:F5"/>
    <mergeCell ref="G4:I4"/>
    <mergeCell ref="G5:I5"/>
  </mergeCells>
  <dataValidations count="2">
    <dataValidation type="list" allowBlank="1" sqref="F9:H9" xr:uid="{E8B5C6C7-3AA8-43BE-A99A-E7EF990CA293}">
      <formula1>#REF!</formula1>
    </dataValidation>
    <dataValidation type="list" allowBlank="1" sqref="I9" xr:uid="{8EF77F19-4D52-4945-B18A-383252142FD6}">
      <formula1>#REF!</formula1>
    </dataValidation>
  </dataValidations>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J12"/>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8.1328125" customWidth="1"/>
  </cols>
  <sheetData>
    <row r="1" spans="1:10" ht="28.5" customHeight="1" thickBot="1" x14ac:dyDescent="0.65">
      <c r="A1" s="19" t="s">
        <v>236</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29.45" customHeight="1" thickBot="1" x14ac:dyDescent="0.5">
      <c r="A4" s="30" t="s">
        <v>8</v>
      </c>
      <c r="B4" s="31" t="s">
        <v>6</v>
      </c>
      <c r="C4" s="30" t="s">
        <v>541</v>
      </c>
      <c r="D4" s="175" t="s">
        <v>9</v>
      </c>
      <c r="E4" s="176"/>
      <c r="F4" s="177"/>
      <c r="G4" s="175" t="s">
        <v>550</v>
      </c>
      <c r="H4" s="176"/>
      <c r="I4" s="177"/>
      <c r="J4" s="3"/>
    </row>
    <row r="5" spans="1:10" s="65" customFormat="1" ht="13.5" customHeight="1" thickBot="1" x14ac:dyDescent="0.4">
      <c r="A5" s="64" t="s">
        <v>237</v>
      </c>
      <c r="B5" s="64">
        <v>41114</v>
      </c>
      <c r="C5" s="64" t="s">
        <v>15</v>
      </c>
      <c r="D5" s="172" t="s">
        <v>238</v>
      </c>
      <c r="E5" s="173"/>
      <c r="F5" s="174"/>
      <c r="G5" s="169" t="s">
        <v>91</v>
      </c>
      <c r="H5" s="170"/>
      <c r="I5" s="171"/>
      <c r="J5" s="3"/>
    </row>
    <row r="6" spans="1:10" s="5" customFormat="1" ht="14.25" x14ac:dyDescent="0.45">
      <c r="A6" s="29"/>
      <c r="B6" s="29"/>
      <c r="C6" s="29"/>
      <c r="D6" s="29"/>
      <c r="E6" s="29"/>
      <c r="F6" s="29"/>
      <c r="G6" s="29"/>
      <c r="H6" s="29"/>
      <c r="I6" s="29"/>
      <c r="J6" s="3"/>
    </row>
    <row r="7" spans="1:10" ht="21" customHeight="1" x14ac:dyDescent="0.4">
      <c r="A7" s="166" t="s">
        <v>7</v>
      </c>
      <c r="B7" s="166"/>
      <c r="C7" s="27"/>
      <c r="D7" s="3"/>
      <c r="E7" s="3"/>
      <c r="F7" s="28"/>
      <c r="G7" s="28"/>
      <c r="H7" s="28"/>
      <c r="I7" s="28"/>
      <c r="J7" s="3"/>
    </row>
    <row r="8" spans="1:10" ht="21" customHeight="1" thickBot="1" x14ac:dyDescent="0.45">
      <c r="A8" s="132" t="s">
        <v>660</v>
      </c>
      <c r="B8" s="133"/>
      <c r="C8" s="134"/>
      <c r="D8" s="132"/>
      <c r="E8" s="135"/>
      <c r="F8" s="136"/>
      <c r="G8" s="136"/>
      <c r="H8" s="136"/>
      <c r="I8" s="136"/>
      <c r="J8" s="3"/>
    </row>
    <row r="9" spans="1:10" s="2" customFormat="1" ht="26.65" thickBot="1" x14ac:dyDescent="0.45">
      <c r="A9" s="32" t="s">
        <v>208</v>
      </c>
      <c r="B9" s="32" t="s">
        <v>661</v>
      </c>
      <c r="C9" s="32" t="s">
        <v>605</v>
      </c>
      <c r="D9" s="33" t="s">
        <v>263</v>
      </c>
      <c r="E9" s="33" t="s">
        <v>662</v>
      </c>
      <c r="F9" s="34" t="s">
        <v>0</v>
      </c>
      <c r="G9" s="33" t="s">
        <v>663</v>
      </c>
      <c r="H9" s="34" t="s">
        <v>664</v>
      </c>
      <c r="I9" s="34" t="s">
        <v>3</v>
      </c>
      <c r="J9" s="33" t="s">
        <v>2</v>
      </c>
    </row>
    <row r="10" spans="1:10" s="2" customFormat="1" ht="25.9" thickBot="1" x14ac:dyDescent="0.45">
      <c r="A10" s="35">
        <f>HYPERLINK("https://bluetooth.atlassian.net/browse/ES-2888",2888)</f>
        <v>2888</v>
      </c>
      <c r="B10" s="36" t="s">
        <v>623</v>
      </c>
      <c r="C10" s="123">
        <v>1</v>
      </c>
      <c r="D10" s="36" t="s">
        <v>239</v>
      </c>
      <c r="E10" s="116" t="s">
        <v>188</v>
      </c>
      <c r="F10" s="118" t="s">
        <v>1</v>
      </c>
      <c r="G10" s="36"/>
      <c r="H10" s="35"/>
      <c r="I10" s="36"/>
      <c r="J10" s="36"/>
    </row>
    <row r="11" spans="1:10" s="2" customFormat="1" ht="25.9" thickBot="1" x14ac:dyDescent="0.45">
      <c r="A11" s="76">
        <f>HYPERLINK("https://bluetooth.atlassian.net/browse/ES-2937",2937)</f>
        <v>2937</v>
      </c>
      <c r="B11" s="38" t="s">
        <v>623</v>
      </c>
      <c r="C11" s="124">
        <v>1</v>
      </c>
      <c r="D11" s="38" t="s">
        <v>240</v>
      </c>
      <c r="E11" s="117" t="s">
        <v>188</v>
      </c>
      <c r="F11" s="112" t="s">
        <v>1</v>
      </c>
      <c r="G11" s="115"/>
      <c r="H11" s="46"/>
      <c r="I11" s="119"/>
      <c r="J11" s="38"/>
    </row>
    <row r="12" spans="1:10" s="2" customFormat="1" ht="38.450000000000003" customHeight="1" thickBot="1" x14ac:dyDescent="0.45">
      <c r="A12" s="35">
        <f>HYPERLINK("https://bluetooth.atlassian.net/browse/ES-2947",2947)</f>
        <v>2947</v>
      </c>
      <c r="B12" s="36" t="s">
        <v>623</v>
      </c>
      <c r="C12" s="123">
        <v>1</v>
      </c>
      <c r="D12" s="36" t="s">
        <v>241</v>
      </c>
      <c r="E12" s="116" t="s">
        <v>188</v>
      </c>
      <c r="F12" s="118" t="s">
        <v>1</v>
      </c>
      <c r="G12" s="36"/>
      <c r="H12" s="35"/>
      <c r="I12" s="36"/>
      <c r="J12" s="36"/>
    </row>
  </sheetData>
  <mergeCells count="7">
    <mergeCell ref="A2:I2"/>
    <mergeCell ref="A3:I3"/>
    <mergeCell ref="A7:B7"/>
    <mergeCell ref="D4:F4"/>
    <mergeCell ref="D5:F5"/>
    <mergeCell ref="G4:I4"/>
    <mergeCell ref="G5:I5"/>
  </mergeCells>
  <conditionalFormatting sqref="F10:F12">
    <cfRule type="cellIs" dxfId="11" priority="1" operator="greaterThan">
      <formula>"Yes"</formula>
    </cfRule>
  </conditionalFormatting>
  <dataValidations count="7">
    <dataValidation type="list" allowBlank="1" sqref="I9" xr:uid="{00000000-0002-0000-0F00-000000000000}">
      <formula1>#REF!</formula1>
    </dataValidation>
    <dataValidation type="list" allowBlank="1" sqref="F9:H9" xr:uid="{AC069DCB-C5D2-459B-AC31-96146E77193B}">
      <formula1>#REF!</formula1>
    </dataValidation>
    <dataValidation allowBlank="1" sqref="H10:H12" xr:uid="{744734A7-B864-4E91-AE6C-986A2838F317}"/>
    <dataValidation type="list" allowBlank="1" sqref="F10:F12" xr:uid="{AE99FD79-1818-467B-A6D0-C58C160ADB51}">
      <formula1>"No,Yes - doesn't need to wait for erratum,Yes - tied to spec change,Not Reviewed"</formula1>
    </dataValidation>
    <dataValidation type="list" allowBlank="1" showInputMessage="1" showErrorMessage="1" sqref="E10:E12" xr:uid="{6CD205A3-DA11-4A93-8B88-D493F9056F0D}">
      <formula1>"Editorial,1/Technical Low,2/Technical Medium,3/Technical High,4/Technical Critical,Not Categorized"</formula1>
    </dataValidation>
    <dataValidation type="list" allowBlank="1" showInputMessage="1" showErrorMessage="1" sqref="G10:G12" xr:uid="{531BC916-18A9-4689-8DF6-8E33152A4136}">
      <formula1>"1,2,3,4,Not Categorized"</formula1>
    </dataValidation>
    <dataValidation type="list" allowBlank="1" sqref="I10:I12" xr:uid="{835037D5-1395-4547-A84F-2BDECEA8889C}">
      <formula1>"Open,Approved,Rejected,Released"</formula1>
    </dataValidation>
  </dataValidations>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J88"/>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51.3984375" customWidth="1"/>
  </cols>
  <sheetData>
    <row r="1" spans="1:10" ht="28.5" customHeight="1" thickBot="1" x14ac:dyDescent="0.65">
      <c r="A1" s="19" t="s">
        <v>242</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32.25" customHeight="1" thickBot="1" x14ac:dyDescent="0.5">
      <c r="A4" s="30" t="s">
        <v>8</v>
      </c>
      <c r="B4" s="31" t="s">
        <v>6</v>
      </c>
      <c r="C4" s="30" t="s">
        <v>541</v>
      </c>
      <c r="D4" s="175" t="s">
        <v>9</v>
      </c>
      <c r="E4" s="176"/>
      <c r="F4" s="177"/>
      <c r="G4" s="175" t="s">
        <v>550</v>
      </c>
      <c r="H4" s="176"/>
      <c r="I4" s="177"/>
      <c r="J4" s="3"/>
    </row>
    <row r="5" spans="1:10" s="5" customFormat="1" ht="105.75" customHeight="1" thickBot="1" x14ac:dyDescent="0.5">
      <c r="A5" s="24" t="s">
        <v>243</v>
      </c>
      <c r="B5" s="24">
        <v>39188</v>
      </c>
      <c r="C5" s="94" t="s">
        <v>556</v>
      </c>
      <c r="D5" s="181" t="s">
        <v>252</v>
      </c>
      <c r="E5" s="182"/>
      <c r="F5" s="183"/>
      <c r="G5" s="181" t="s">
        <v>251</v>
      </c>
      <c r="H5" s="182"/>
      <c r="I5" s="183"/>
      <c r="J5" s="3"/>
    </row>
    <row r="6" spans="1:10" s="65" customFormat="1" ht="13.5" customHeight="1" thickBot="1" x14ac:dyDescent="0.4">
      <c r="A6" s="64" t="s">
        <v>244</v>
      </c>
      <c r="B6" s="64">
        <v>39625</v>
      </c>
      <c r="C6" s="94" t="s">
        <v>556</v>
      </c>
      <c r="D6" s="172" t="s">
        <v>302</v>
      </c>
      <c r="E6" s="173"/>
      <c r="F6" s="174"/>
      <c r="G6" s="172" t="s">
        <v>92</v>
      </c>
      <c r="H6" s="173"/>
      <c r="I6" s="174"/>
      <c r="J6" s="3"/>
    </row>
    <row r="7" spans="1:10" s="5" customFormat="1" ht="79.5" customHeight="1" thickBot="1" x14ac:dyDescent="0.5">
      <c r="A7" s="24" t="s">
        <v>245</v>
      </c>
      <c r="B7" s="24">
        <v>41114</v>
      </c>
      <c r="C7" s="94" t="s">
        <v>556</v>
      </c>
      <c r="D7" s="181" t="s">
        <v>259</v>
      </c>
      <c r="E7" s="182"/>
      <c r="F7" s="183"/>
      <c r="G7" s="181" t="s">
        <v>253</v>
      </c>
      <c r="H7" s="182"/>
      <c r="I7" s="183"/>
      <c r="J7" s="3"/>
    </row>
    <row r="8" spans="1:10" s="65" customFormat="1" ht="13.5" customHeight="1" thickBot="1" x14ac:dyDescent="0.4">
      <c r="A8" s="68" t="s">
        <v>246</v>
      </c>
      <c r="B8" s="91">
        <v>43486</v>
      </c>
      <c r="C8" s="94" t="s">
        <v>14</v>
      </c>
      <c r="D8" s="169" t="s">
        <v>254</v>
      </c>
      <c r="E8" s="170"/>
      <c r="F8" s="171"/>
      <c r="G8" s="169" t="s">
        <v>92</v>
      </c>
      <c r="H8" s="170"/>
      <c r="I8" s="171"/>
      <c r="J8" s="3"/>
    </row>
    <row r="9" spans="1:10" s="5" customFormat="1" ht="66" customHeight="1" thickBot="1" x14ac:dyDescent="0.5">
      <c r="A9" s="6" t="s">
        <v>247</v>
      </c>
      <c r="B9" s="43">
        <v>41900</v>
      </c>
      <c r="C9" s="95" t="s">
        <v>14</v>
      </c>
      <c r="D9" s="181" t="s">
        <v>260</v>
      </c>
      <c r="E9" s="182"/>
      <c r="F9" s="183"/>
      <c r="G9" s="181" t="s">
        <v>255</v>
      </c>
      <c r="H9" s="182"/>
      <c r="I9" s="183"/>
      <c r="J9" s="3"/>
    </row>
    <row r="10" spans="1:10" s="65" customFormat="1" ht="13.5" customHeight="1" thickBot="1" x14ac:dyDescent="0.4">
      <c r="A10" s="68" t="s">
        <v>248</v>
      </c>
      <c r="B10" s="66">
        <v>42353</v>
      </c>
      <c r="C10" s="44" t="s">
        <v>14</v>
      </c>
      <c r="D10" s="169" t="s">
        <v>256</v>
      </c>
      <c r="E10" s="170"/>
      <c r="F10" s="171"/>
      <c r="G10" s="169" t="s">
        <v>92</v>
      </c>
      <c r="H10" s="170"/>
      <c r="I10" s="171"/>
      <c r="J10" s="3"/>
    </row>
    <row r="11" spans="1:10" s="65" customFormat="1" ht="13.5" customHeight="1" thickBot="1" x14ac:dyDescent="0.4">
      <c r="A11" s="68" t="s">
        <v>249</v>
      </c>
      <c r="B11" s="66">
        <v>43480</v>
      </c>
      <c r="C11" s="44" t="s">
        <v>15</v>
      </c>
      <c r="D11" s="172" t="s">
        <v>261</v>
      </c>
      <c r="E11" s="173"/>
      <c r="F11" s="174"/>
      <c r="G11" s="169" t="s">
        <v>92</v>
      </c>
      <c r="H11" s="170"/>
      <c r="I11" s="171"/>
      <c r="J11" s="3"/>
    </row>
    <row r="12" spans="1:10" s="5" customFormat="1" ht="66" customHeight="1" thickBot="1" x14ac:dyDescent="0.5">
      <c r="A12" s="6" t="s">
        <v>250</v>
      </c>
      <c r="B12" s="94">
        <v>43935</v>
      </c>
      <c r="C12" s="6" t="s">
        <v>15</v>
      </c>
      <c r="D12" s="178" t="s">
        <v>258</v>
      </c>
      <c r="E12" s="179"/>
      <c r="F12" s="180"/>
      <c r="G12" s="181" t="s">
        <v>257</v>
      </c>
      <c r="H12" s="182"/>
      <c r="I12" s="183"/>
      <c r="J12" s="3"/>
    </row>
    <row r="13" spans="1:10" s="5" customFormat="1" ht="14.25" x14ac:dyDescent="0.45">
      <c r="A13" s="29"/>
      <c r="B13" s="29"/>
      <c r="C13" s="29"/>
      <c r="D13" s="29"/>
      <c r="E13" s="29"/>
      <c r="F13" s="29"/>
      <c r="G13" s="29"/>
      <c r="H13" s="29"/>
      <c r="I13" s="29"/>
      <c r="J13" s="3"/>
    </row>
    <row r="14" spans="1:10" ht="21" customHeight="1" x14ac:dyDescent="0.4">
      <c r="A14" s="187" t="s">
        <v>7</v>
      </c>
      <c r="B14" s="187"/>
      <c r="C14" s="134"/>
      <c r="D14" s="135"/>
      <c r="E14" s="135"/>
      <c r="F14" s="136"/>
      <c r="G14" s="136"/>
      <c r="H14" s="136"/>
      <c r="I14" s="136"/>
      <c r="J14" s="3"/>
    </row>
    <row r="15" spans="1:10" ht="21" customHeight="1" thickBot="1" x14ac:dyDescent="0.45">
      <c r="A15" s="132" t="s">
        <v>660</v>
      </c>
      <c r="B15" s="133"/>
      <c r="C15" s="134"/>
      <c r="D15" s="132"/>
      <c r="E15" s="135"/>
      <c r="F15" s="136"/>
      <c r="G15" s="136"/>
      <c r="H15" s="136"/>
      <c r="I15" s="136"/>
      <c r="J15" s="3"/>
    </row>
    <row r="16" spans="1:10" s="2" customFormat="1" ht="26.65" thickBot="1" x14ac:dyDescent="0.45">
      <c r="A16" s="32" t="s">
        <v>208</v>
      </c>
      <c r="B16" s="32" t="s">
        <v>661</v>
      </c>
      <c r="C16" s="32" t="s">
        <v>605</v>
      </c>
      <c r="D16" s="33" t="s">
        <v>263</v>
      </c>
      <c r="E16" s="33" t="s">
        <v>662</v>
      </c>
      <c r="F16" s="34" t="s">
        <v>0</v>
      </c>
      <c r="G16" s="33" t="s">
        <v>663</v>
      </c>
      <c r="H16" s="34" t="s">
        <v>664</v>
      </c>
      <c r="I16" s="34" t="s">
        <v>3</v>
      </c>
      <c r="J16" s="33" t="s">
        <v>2</v>
      </c>
    </row>
    <row r="17" spans="1:10" s="2" customFormat="1" ht="38.65" thickBot="1" x14ac:dyDescent="0.45">
      <c r="A17" s="35">
        <f>HYPERLINK("https://bluetooth.atlassian.net/browse/ES-13",13)</f>
        <v>13</v>
      </c>
      <c r="B17" s="36" t="s">
        <v>625</v>
      </c>
      <c r="C17" s="123">
        <v>1</v>
      </c>
      <c r="D17" s="36" t="s">
        <v>262</v>
      </c>
      <c r="E17" s="116" t="s">
        <v>188</v>
      </c>
      <c r="F17" s="118" t="s">
        <v>604</v>
      </c>
      <c r="G17" s="36" t="s">
        <v>188</v>
      </c>
      <c r="H17" s="35">
        <f>HYPERLINK("https://bluetooth.atlassian.net/browse/ES-1530",1530)</f>
        <v>1530</v>
      </c>
      <c r="I17" s="36" t="s">
        <v>42</v>
      </c>
      <c r="J17" s="36"/>
    </row>
    <row r="18" spans="1:10" s="2" customFormat="1" ht="38.65" thickBot="1" x14ac:dyDescent="0.45">
      <c r="A18" s="37">
        <f>HYPERLINK("https://bluetooth.atlassian.net/browse/ES-261",261)</f>
        <v>261</v>
      </c>
      <c r="B18" s="38" t="s">
        <v>625</v>
      </c>
      <c r="C18" s="124">
        <v>1</v>
      </c>
      <c r="D18" s="38" t="s">
        <v>264</v>
      </c>
      <c r="E18" s="117" t="s">
        <v>188</v>
      </c>
      <c r="F18" s="112" t="s">
        <v>604</v>
      </c>
      <c r="G18" s="115" t="s">
        <v>188</v>
      </c>
      <c r="H18" s="48">
        <f>HYPERLINK("https://bluetooth.atlassian.net/browse/ES-1563",1563)</f>
        <v>1563</v>
      </c>
      <c r="I18" s="119" t="s">
        <v>42</v>
      </c>
      <c r="J18" s="38" t="s">
        <v>266</v>
      </c>
    </row>
    <row r="19" spans="1:10" s="2" customFormat="1" ht="65.25" customHeight="1" thickBot="1" x14ac:dyDescent="0.45">
      <c r="A19" s="35">
        <f>HYPERLINK("https://bluetooth.atlassian.net/browse/ES-317",317)</f>
        <v>317</v>
      </c>
      <c r="B19" s="36" t="s">
        <v>625</v>
      </c>
      <c r="C19" s="123">
        <v>1</v>
      </c>
      <c r="D19" s="36" t="s">
        <v>265</v>
      </c>
      <c r="E19" s="116" t="s">
        <v>188</v>
      </c>
      <c r="F19" s="118" t="s">
        <v>1</v>
      </c>
      <c r="G19" s="36"/>
      <c r="H19" s="35"/>
      <c r="I19" s="36"/>
      <c r="J19" s="36" t="s">
        <v>267</v>
      </c>
    </row>
    <row r="20" spans="1:10" s="2" customFormat="1" ht="66" customHeight="1" thickBot="1" x14ac:dyDescent="0.45">
      <c r="A20" s="37">
        <f>HYPERLINK("https://bluetooth.atlassian.net/browse/ES-549",549)</f>
        <v>549</v>
      </c>
      <c r="B20" s="38" t="s">
        <v>625</v>
      </c>
      <c r="C20" s="124">
        <v>1</v>
      </c>
      <c r="D20" s="38" t="s">
        <v>268</v>
      </c>
      <c r="E20" s="117" t="s">
        <v>188</v>
      </c>
      <c r="F20" s="112" t="s">
        <v>601</v>
      </c>
      <c r="G20" s="115" t="s">
        <v>188</v>
      </c>
      <c r="H20" s="48">
        <f>HYPERLINK("https://bluetooth.atlassian.net/browse/ES-1434",1434)</f>
        <v>1434</v>
      </c>
      <c r="I20" s="119" t="s">
        <v>42</v>
      </c>
      <c r="J20" s="38" t="s">
        <v>269</v>
      </c>
    </row>
    <row r="21" spans="1:10" s="2" customFormat="1" ht="25.9" thickBot="1" x14ac:dyDescent="0.45">
      <c r="A21" s="35">
        <f>HYPERLINK("https://bluetooth.atlassian.net/browse/ES-550",550)</f>
        <v>550</v>
      </c>
      <c r="B21" s="36" t="s">
        <v>625</v>
      </c>
      <c r="C21" s="123">
        <v>1</v>
      </c>
      <c r="D21" s="36" t="s">
        <v>270</v>
      </c>
      <c r="E21" s="116" t="s">
        <v>188</v>
      </c>
      <c r="F21" s="118" t="s">
        <v>601</v>
      </c>
      <c r="G21" s="36" t="s">
        <v>188</v>
      </c>
      <c r="H21" s="35">
        <f>HYPERLINK("https://bluetooth.atlassian.net/browse/ES-1425",1425)</f>
        <v>1425</v>
      </c>
      <c r="I21" s="36" t="s">
        <v>42</v>
      </c>
      <c r="J21" s="36" t="s">
        <v>648</v>
      </c>
    </row>
    <row r="22" spans="1:10" s="2" customFormat="1" ht="102.75" customHeight="1" thickBot="1" x14ac:dyDescent="0.45">
      <c r="A22" s="37">
        <f>HYPERLINK("https://bluetooth.atlassian.net/browse/ES-575",575)</f>
        <v>575</v>
      </c>
      <c r="B22" s="38" t="s">
        <v>625</v>
      </c>
      <c r="C22" s="124">
        <v>1</v>
      </c>
      <c r="D22" s="38" t="s">
        <v>271</v>
      </c>
      <c r="E22" s="117" t="s">
        <v>188</v>
      </c>
      <c r="F22" s="112" t="s">
        <v>1</v>
      </c>
      <c r="G22" s="115"/>
      <c r="H22" s="38"/>
      <c r="I22" s="119"/>
      <c r="J22" s="38" t="s">
        <v>272</v>
      </c>
    </row>
    <row r="23" spans="1:10" s="2" customFormat="1" ht="25.9" thickBot="1" x14ac:dyDescent="0.45">
      <c r="A23" s="35">
        <f>HYPERLINK("https://bluetooth.atlassian.net/browse/ES-586",586)</f>
        <v>586</v>
      </c>
      <c r="B23" s="36" t="s">
        <v>625</v>
      </c>
      <c r="C23" s="123">
        <v>1</v>
      </c>
      <c r="D23" s="36" t="s">
        <v>273</v>
      </c>
      <c r="E23" s="116" t="s">
        <v>188</v>
      </c>
      <c r="F23" s="118" t="s">
        <v>1</v>
      </c>
      <c r="G23" s="36"/>
      <c r="H23" s="36"/>
      <c r="I23" s="36"/>
      <c r="J23" s="36"/>
    </row>
    <row r="24" spans="1:10" s="2" customFormat="1" ht="25.9" thickBot="1" x14ac:dyDescent="0.45">
      <c r="A24" s="37">
        <f>HYPERLINK("https://bluetooth.atlassian.net/browse/ES-635",635)</f>
        <v>635</v>
      </c>
      <c r="B24" s="38" t="s">
        <v>625</v>
      </c>
      <c r="C24" s="124">
        <v>1</v>
      </c>
      <c r="D24" s="38" t="s">
        <v>274</v>
      </c>
      <c r="E24" s="117" t="s">
        <v>188</v>
      </c>
      <c r="F24" s="112" t="s">
        <v>1</v>
      </c>
      <c r="G24" s="115"/>
      <c r="H24" s="38"/>
      <c r="I24" s="119"/>
      <c r="J24" s="38"/>
    </row>
    <row r="25" spans="1:10" s="2" customFormat="1" ht="63.75" customHeight="1" thickBot="1" x14ac:dyDescent="0.45">
      <c r="A25" s="35">
        <f>HYPERLINK("https://bluetooth.atlassian.net/browse/ES-706",706)</f>
        <v>706</v>
      </c>
      <c r="B25" s="36" t="s">
        <v>625</v>
      </c>
      <c r="C25" s="123">
        <v>1</v>
      </c>
      <c r="D25" s="36" t="s">
        <v>275</v>
      </c>
      <c r="E25" s="116" t="s">
        <v>188</v>
      </c>
      <c r="F25" s="118" t="s">
        <v>1</v>
      </c>
      <c r="G25" s="36"/>
      <c r="H25" s="36"/>
      <c r="I25" s="36"/>
      <c r="J25" s="36" t="s">
        <v>649</v>
      </c>
    </row>
    <row r="26" spans="1:10" s="2" customFormat="1" ht="64.150000000000006" thickBot="1" x14ac:dyDescent="0.45">
      <c r="A26" s="37">
        <f>HYPERLINK("https://bluetooth.atlassian.net/browse/ES-731",731)</f>
        <v>731</v>
      </c>
      <c r="B26" s="38" t="s">
        <v>625</v>
      </c>
      <c r="C26" s="124">
        <v>1</v>
      </c>
      <c r="D26" s="38" t="s">
        <v>276</v>
      </c>
      <c r="E26" s="117" t="s">
        <v>188</v>
      </c>
      <c r="F26" s="112" t="s">
        <v>1</v>
      </c>
      <c r="G26" s="115" t="s">
        <v>188</v>
      </c>
      <c r="H26" s="45">
        <f>HYPERLINK("https://bluetooth.atlassian.net/browse/ES-1579",1579)</f>
        <v>1579</v>
      </c>
      <c r="I26" s="119" t="s">
        <v>42</v>
      </c>
      <c r="J26" s="38" t="s">
        <v>650</v>
      </c>
    </row>
    <row r="27" spans="1:10" s="2" customFormat="1" ht="38.65" thickBot="1" x14ac:dyDescent="0.45">
      <c r="A27" s="35">
        <f>HYPERLINK("https://bluetooth.atlassian.net/browse/ES-746",746)</f>
        <v>746</v>
      </c>
      <c r="B27" s="36" t="s">
        <v>625</v>
      </c>
      <c r="C27" s="36">
        <v>1.5</v>
      </c>
      <c r="D27" s="36" t="s">
        <v>277</v>
      </c>
      <c r="E27" s="116" t="s">
        <v>188</v>
      </c>
      <c r="F27" s="118" t="s">
        <v>604</v>
      </c>
      <c r="G27" s="36" t="s">
        <v>188</v>
      </c>
      <c r="H27" s="35">
        <f>HYPERLINK("https://bluetooth.atlassian.net/browse/ES-1610",1610)</f>
        <v>1610</v>
      </c>
      <c r="I27" s="36" t="s">
        <v>42</v>
      </c>
      <c r="J27" s="36" t="s">
        <v>278</v>
      </c>
    </row>
    <row r="28" spans="1:10" s="2" customFormat="1" ht="38.65" thickBot="1" x14ac:dyDescent="0.45">
      <c r="A28" s="45">
        <f>HYPERLINK("https://bluetooth.atlassian.net/browse/ES-819",819)</f>
        <v>819</v>
      </c>
      <c r="B28" s="38" t="s">
        <v>625</v>
      </c>
      <c r="C28" s="47">
        <v>1.5</v>
      </c>
      <c r="D28" s="47" t="s">
        <v>279</v>
      </c>
      <c r="E28" s="117" t="s">
        <v>188</v>
      </c>
      <c r="F28" s="112" t="s">
        <v>1</v>
      </c>
      <c r="G28" s="115"/>
      <c r="H28" s="47"/>
      <c r="I28" s="119"/>
      <c r="J28" s="47" t="s">
        <v>280</v>
      </c>
    </row>
    <row r="29" spans="1:10" s="2" customFormat="1" ht="38.65" thickBot="1" x14ac:dyDescent="0.45">
      <c r="A29" s="35">
        <f>HYPERLINK("https://bluetooth.atlassian.net/browse/ES-820",820)</f>
        <v>820</v>
      </c>
      <c r="B29" s="36" t="s">
        <v>625</v>
      </c>
      <c r="C29" s="36">
        <v>1.5</v>
      </c>
      <c r="D29" s="36" t="s">
        <v>281</v>
      </c>
      <c r="E29" s="116" t="s">
        <v>188</v>
      </c>
      <c r="F29" s="118" t="s">
        <v>1</v>
      </c>
      <c r="G29" s="36"/>
      <c r="H29" s="36"/>
      <c r="I29" s="36"/>
      <c r="J29" s="36" t="s">
        <v>280</v>
      </c>
    </row>
    <row r="30" spans="1:10" s="2" customFormat="1" ht="38.65" thickBot="1" x14ac:dyDescent="0.45">
      <c r="A30" s="45">
        <f>HYPERLINK("https://bluetooth.atlassian.net/browse/ES-821",821)</f>
        <v>821</v>
      </c>
      <c r="B30" s="38" t="s">
        <v>625</v>
      </c>
      <c r="C30" s="47">
        <v>1.5</v>
      </c>
      <c r="D30" s="47" t="s">
        <v>282</v>
      </c>
      <c r="E30" s="117" t="s">
        <v>188</v>
      </c>
      <c r="F30" s="112" t="s">
        <v>1</v>
      </c>
      <c r="G30" s="115"/>
      <c r="H30" s="47"/>
      <c r="I30" s="119"/>
      <c r="J30" s="47" t="s">
        <v>280</v>
      </c>
    </row>
    <row r="31" spans="1:10" s="2" customFormat="1" ht="38.65" thickBot="1" x14ac:dyDescent="0.45">
      <c r="A31" s="35">
        <f>HYPERLINK("https://bluetooth.atlassian.net/browse/ES-822",822)</f>
        <v>822</v>
      </c>
      <c r="B31" s="36" t="s">
        <v>625</v>
      </c>
      <c r="C31" s="36">
        <v>1.5</v>
      </c>
      <c r="D31" s="36" t="s">
        <v>283</v>
      </c>
      <c r="E31" s="116" t="s">
        <v>188</v>
      </c>
      <c r="F31" s="118" t="s">
        <v>1</v>
      </c>
      <c r="G31" s="36"/>
      <c r="H31" s="36"/>
      <c r="I31" s="36"/>
      <c r="J31" s="36" t="s">
        <v>280</v>
      </c>
    </row>
    <row r="32" spans="1:10" s="2" customFormat="1" ht="38.65" thickBot="1" x14ac:dyDescent="0.45">
      <c r="A32" s="45">
        <f>HYPERLINK("https://bluetooth.atlassian.net/browse/ES-823",823)</f>
        <v>823</v>
      </c>
      <c r="B32" s="38" t="s">
        <v>625</v>
      </c>
      <c r="C32" s="47">
        <v>1.5</v>
      </c>
      <c r="D32" s="47" t="s">
        <v>284</v>
      </c>
      <c r="E32" s="117" t="s">
        <v>188</v>
      </c>
      <c r="F32" s="112" t="s">
        <v>1</v>
      </c>
      <c r="G32" s="115"/>
      <c r="H32" s="47"/>
      <c r="I32" s="119"/>
      <c r="J32" s="47" t="s">
        <v>280</v>
      </c>
    </row>
    <row r="33" spans="1:10" s="2" customFormat="1" ht="25.9" thickBot="1" x14ac:dyDescent="0.45">
      <c r="A33" s="35">
        <f>HYPERLINK("https://bluetooth.atlassian.net/browse/ES-913",913)</f>
        <v>913</v>
      </c>
      <c r="B33" s="36" t="s">
        <v>625</v>
      </c>
      <c r="C33" s="36">
        <v>1.5</v>
      </c>
      <c r="D33" s="57" t="s">
        <v>285</v>
      </c>
      <c r="E33" s="116" t="s">
        <v>188</v>
      </c>
      <c r="F33" s="118" t="s">
        <v>1</v>
      </c>
      <c r="G33" s="36"/>
      <c r="H33" s="36"/>
      <c r="I33" s="36"/>
      <c r="J33" s="36"/>
    </row>
    <row r="34" spans="1:10" s="2" customFormat="1" ht="25.9" thickBot="1" x14ac:dyDescent="0.45">
      <c r="A34" s="45">
        <f>HYPERLINK("https://bluetooth.atlassian.net/browse/ES-1859",1859)</f>
        <v>1859</v>
      </c>
      <c r="B34" s="38" t="s">
        <v>625</v>
      </c>
      <c r="C34" s="47">
        <v>1.5</v>
      </c>
      <c r="D34" s="47" t="s">
        <v>286</v>
      </c>
      <c r="E34" s="117" t="s">
        <v>188</v>
      </c>
      <c r="F34" s="112" t="s">
        <v>1</v>
      </c>
      <c r="G34" s="115"/>
      <c r="H34" s="47"/>
      <c r="I34" s="119"/>
      <c r="J34" s="47"/>
    </row>
    <row r="35" spans="1:10" s="2" customFormat="1" ht="13.5" customHeight="1" thickBot="1" x14ac:dyDescent="0.45">
      <c r="A35" s="35">
        <f>HYPERLINK("https://bluetooth.atlassian.net/browse/ES-1868",1868)</f>
        <v>1868</v>
      </c>
      <c r="B35" s="36" t="s">
        <v>625</v>
      </c>
      <c r="C35" s="36">
        <v>1.5</v>
      </c>
      <c r="D35" s="36" t="s">
        <v>287</v>
      </c>
      <c r="E35" s="116" t="s">
        <v>5</v>
      </c>
      <c r="F35" s="118" t="s">
        <v>1</v>
      </c>
      <c r="G35" s="36"/>
      <c r="H35" s="36"/>
      <c r="I35" s="36"/>
      <c r="J35" s="36"/>
    </row>
    <row r="36" spans="1:10" s="2" customFormat="1" ht="25.9" thickBot="1" x14ac:dyDescent="0.45">
      <c r="A36" s="45">
        <f>HYPERLINK("https://bluetooth.atlassian.net/browse/ES-1872",1872)</f>
        <v>1872</v>
      </c>
      <c r="B36" s="38" t="s">
        <v>625</v>
      </c>
      <c r="C36" s="47">
        <v>1.5</v>
      </c>
      <c r="D36" s="47" t="s">
        <v>288</v>
      </c>
      <c r="E36" s="117" t="s">
        <v>188</v>
      </c>
      <c r="F36" s="112" t="s">
        <v>1</v>
      </c>
      <c r="G36" s="115"/>
      <c r="H36" s="47"/>
      <c r="I36" s="119"/>
      <c r="J36" s="47"/>
    </row>
    <row r="37" spans="1:10" s="2" customFormat="1" ht="38.65" thickBot="1" x14ac:dyDescent="0.45">
      <c r="A37" s="35">
        <f>HYPERLINK("https://bluetooth.atlassian.net/browse/ES-1878",1878)</f>
        <v>1878</v>
      </c>
      <c r="B37" s="36" t="s">
        <v>625</v>
      </c>
      <c r="C37" s="36">
        <v>1.5</v>
      </c>
      <c r="D37" s="36" t="s">
        <v>289</v>
      </c>
      <c r="E37" s="116" t="s">
        <v>188</v>
      </c>
      <c r="F37" s="118" t="s">
        <v>604</v>
      </c>
      <c r="G37" s="36" t="s">
        <v>188</v>
      </c>
      <c r="H37" s="35">
        <f>HYPERLINK("https://bluetooth.atlassian.net/browse/ES-1879",1879)</f>
        <v>1879</v>
      </c>
      <c r="I37" s="36" t="s">
        <v>42</v>
      </c>
      <c r="J37" s="36" t="s">
        <v>350</v>
      </c>
    </row>
    <row r="38" spans="1:10" s="2" customFormat="1" ht="25.9" thickBot="1" x14ac:dyDescent="0.45">
      <c r="A38" s="45">
        <f>HYPERLINK("https://bluetooth.atlassian.net/browse/ES-1934",1934)</f>
        <v>1934</v>
      </c>
      <c r="B38" s="38" t="s">
        <v>625</v>
      </c>
      <c r="C38" s="47">
        <v>1.5</v>
      </c>
      <c r="D38" s="47" t="s">
        <v>290</v>
      </c>
      <c r="E38" s="117" t="s">
        <v>188</v>
      </c>
      <c r="F38" s="112" t="s">
        <v>1</v>
      </c>
      <c r="G38" s="115"/>
      <c r="H38" s="47"/>
      <c r="I38" s="119"/>
      <c r="J38" s="47"/>
    </row>
    <row r="39" spans="1:10" s="2" customFormat="1" ht="25.9" thickBot="1" x14ac:dyDescent="0.45">
      <c r="A39" s="35">
        <f>HYPERLINK("https://bluetooth.atlassian.net/browse/ES-1958",1958)</f>
        <v>1958</v>
      </c>
      <c r="B39" s="36" t="s">
        <v>625</v>
      </c>
      <c r="C39" s="36">
        <v>1.5</v>
      </c>
      <c r="D39" s="36" t="s">
        <v>291</v>
      </c>
      <c r="E39" s="116" t="s">
        <v>188</v>
      </c>
      <c r="F39" s="118" t="s">
        <v>1</v>
      </c>
      <c r="G39" s="36"/>
      <c r="H39" s="36"/>
      <c r="I39" s="36"/>
      <c r="J39" s="36"/>
    </row>
    <row r="40" spans="1:10" s="2" customFormat="1" ht="53.2" customHeight="1" thickBot="1" x14ac:dyDescent="0.45">
      <c r="A40" s="45">
        <f>HYPERLINK("https://bluetooth.atlassian.net/browse/ES-1989",1989)</f>
        <v>1989</v>
      </c>
      <c r="B40" s="38" t="s">
        <v>625</v>
      </c>
      <c r="C40" s="47">
        <v>1.5</v>
      </c>
      <c r="D40" s="47" t="s">
        <v>292</v>
      </c>
      <c r="E40" s="117" t="s">
        <v>188</v>
      </c>
      <c r="F40" s="112" t="s">
        <v>1</v>
      </c>
      <c r="G40" s="115"/>
      <c r="H40" s="47"/>
      <c r="I40" s="119"/>
      <c r="J40" s="47" t="s">
        <v>293</v>
      </c>
    </row>
    <row r="41" spans="1:10" s="2" customFormat="1" ht="27" customHeight="1" thickBot="1" x14ac:dyDescent="0.45">
      <c r="A41" s="35">
        <f>HYPERLINK("https://bluetooth.atlassian.net/browse/ES-2037",2037)</f>
        <v>2037</v>
      </c>
      <c r="B41" s="36" t="s">
        <v>625</v>
      </c>
      <c r="C41" s="36">
        <v>1.5</v>
      </c>
      <c r="D41" s="36" t="s">
        <v>294</v>
      </c>
      <c r="E41" s="116" t="s">
        <v>188</v>
      </c>
      <c r="F41" s="118" t="s">
        <v>1</v>
      </c>
      <c r="G41" s="36"/>
      <c r="H41" s="36"/>
      <c r="I41" s="36"/>
      <c r="J41" s="36"/>
    </row>
    <row r="42" spans="1:10" s="2" customFormat="1" ht="51.4" thickBot="1" x14ac:dyDescent="0.45">
      <c r="A42" s="45">
        <f>HYPERLINK("https://bluetooth.atlassian.net/browse/ES-2043",2043)</f>
        <v>2043</v>
      </c>
      <c r="B42" s="38" t="s">
        <v>625</v>
      </c>
      <c r="C42" s="47">
        <v>1.5</v>
      </c>
      <c r="D42" s="47" t="s">
        <v>295</v>
      </c>
      <c r="E42" s="117" t="s">
        <v>188</v>
      </c>
      <c r="F42" s="112" t="s">
        <v>1</v>
      </c>
      <c r="G42" s="115"/>
      <c r="H42" s="47"/>
      <c r="I42" s="119"/>
      <c r="J42" s="47" t="s">
        <v>296</v>
      </c>
    </row>
    <row r="43" spans="1:10" s="2" customFormat="1" ht="51.75" customHeight="1" thickBot="1" x14ac:dyDescent="0.45">
      <c r="A43" s="35">
        <f>HYPERLINK("https://bluetooth.atlassian.net/browse/ES-2144",2144)</f>
        <v>2144</v>
      </c>
      <c r="B43" s="36" t="s">
        <v>625</v>
      </c>
      <c r="C43" s="36">
        <v>1.5</v>
      </c>
      <c r="D43" s="36" t="s">
        <v>297</v>
      </c>
      <c r="E43" s="116" t="s">
        <v>188</v>
      </c>
      <c r="F43" s="118" t="s">
        <v>1</v>
      </c>
      <c r="G43" s="36"/>
      <c r="H43" s="36"/>
      <c r="I43" s="36"/>
      <c r="J43" s="36" t="s">
        <v>298</v>
      </c>
    </row>
    <row r="44" spans="1:10" s="2" customFormat="1" ht="51.4" thickBot="1" x14ac:dyDescent="0.45">
      <c r="A44" s="45">
        <f>HYPERLINK("https://bluetooth.atlassian.net/browse/ES-2146",2146)</f>
        <v>2146</v>
      </c>
      <c r="B44" s="38" t="s">
        <v>625</v>
      </c>
      <c r="C44" s="47">
        <v>1.5</v>
      </c>
      <c r="D44" s="47" t="s">
        <v>299</v>
      </c>
      <c r="E44" s="117" t="s">
        <v>188</v>
      </c>
      <c r="F44" s="112" t="s">
        <v>1</v>
      </c>
      <c r="G44" s="115"/>
      <c r="H44" s="47"/>
      <c r="I44" s="119"/>
      <c r="J44" s="47" t="s">
        <v>305</v>
      </c>
    </row>
    <row r="45" spans="1:10" s="2" customFormat="1" ht="13.5" customHeight="1" thickBot="1" x14ac:dyDescent="0.45">
      <c r="A45" s="35">
        <f>HYPERLINK("https://bluetooth.atlassian.net/browse/ES-2209",2209)</f>
        <v>2209</v>
      </c>
      <c r="B45" s="36" t="s">
        <v>625</v>
      </c>
      <c r="C45" s="36">
        <v>1.5</v>
      </c>
      <c r="D45" s="36" t="s">
        <v>300</v>
      </c>
      <c r="E45" s="116" t="s">
        <v>5</v>
      </c>
      <c r="F45" s="118" t="s">
        <v>1</v>
      </c>
      <c r="G45" s="36"/>
      <c r="H45" s="35"/>
      <c r="I45" s="36"/>
      <c r="J45" s="36"/>
    </row>
    <row r="46" spans="1:10" s="2" customFormat="1" ht="27" customHeight="1" thickBot="1" x14ac:dyDescent="0.45">
      <c r="A46" s="45">
        <f>HYPERLINK("https://bluetooth.atlassian.net/browse/ES-2211",2211)</f>
        <v>2211</v>
      </c>
      <c r="B46" s="38" t="s">
        <v>625</v>
      </c>
      <c r="C46" s="47">
        <v>1.5</v>
      </c>
      <c r="D46" s="47" t="s">
        <v>301</v>
      </c>
      <c r="E46" s="117" t="s">
        <v>188</v>
      </c>
      <c r="F46" s="112" t="s">
        <v>1</v>
      </c>
      <c r="G46" s="115"/>
      <c r="H46" s="47"/>
      <c r="I46" s="119"/>
      <c r="J46" s="47"/>
    </row>
    <row r="47" spans="1:10" s="2" customFormat="1" ht="65.25" customHeight="1" thickBot="1" x14ac:dyDescent="0.45">
      <c r="A47" s="35">
        <f>HYPERLINK("https://bluetooth.atlassian.net/browse/ES-2259",2259)</f>
        <v>2259</v>
      </c>
      <c r="B47" s="36" t="s">
        <v>625</v>
      </c>
      <c r="C47" s="36">
        <v>1.5</v>
      </c>
      <c r="D47" s="36" t="s">
        <v>303</v>
      </c>
      <c r="E47" s="116" t="s">
        <v>188</v>
      </c>
      <c r="F47" s="118" t="s">
        <v>1</v>
      </c>
      <c r="G47" s="36"/>
      <c r="H47" s="35"/>
      <c r="I47" s="36"/>
      <c r="J47" s="36" t="s">
        <v>304</v>
      </c>
    </row>
    <row r="48" spans="1:10" s="2" customFormat="1" ht="25.9" thickBot="1" x14ac:dyDescent="0.45">
      <c r="A48" s="45">
        <f>HYPERLINK("https://bluetooth.atlassian.net/browse/ES-2276",2276)</f>
        <v>2276</v>
      </c>
      <c r="B48" s="38" t="s">
        <v>625</v>
      </c>
      <c r="C48" s="47">
        <v>1.5</v>
      </c>
      <c r="D48" s="47" t="s">
        <v>306</v>
      </c>
      <c r="E48" s="117" t="s">
        <v>188</v>
      </c>
      <c r="F48" s="112" t="s">
        <v>1</v>
      </c>
      <c r="G48" s="115"/>
      <c r="H48" s="47"/>
      <c r="I48" s="119"/>
      <c r="J48" s="47"/>
    </row>
    <row r="49" spans="1:10" s="2" customFormat="1" ht="13.5" customHeight="1" thickBot="1" x14ac:dyDescent="0.45">
      <c r="A49" s="35">
        <f>HYPERLINK("https://bluetooth.atlassian.net/browse/ES-2286",2286)</f>
        <v>2286</v>
      </c>
      <c r="B49" s="36" t="s">
        <v>625</v>
      </c>
      <c r="C49" s="36">
        <v>1.5</v>
      </c>
      <c r="D49" s="36" t="s">
        <v>307</v>
      </c>
      <c r="E49" s="116" t="s">
        <v>5</v>
      </c>
      <c r="F49" s="118" t="s">
        <v>1</v>
      </c>
      <c r="G49" s="36"/>
      <c r="H49" s="36"/>
      <c r="I49" s="36"/>
      <c r="J49" s="36"/>
    </row>
    <row r="50" spans="1:10" s="2" customFormat="1" ht="25.9" thickBot="1" x14ac:dyDescent="0.45">
      <c r="A50" s="45">
        <f>HYPERLINK("https://bluetooth.atlassian.net/browse/ES-2459",2459)</f>
        <v>2459</v>
      </c>
      <c r="B50" s="38" t="s">
        <v>625</v>
      </c>
      <c r="C50" s="47">
        <v>1.5</v>
      </c>
      <c r="D50" s="47" t="s">
        <v>308</v>
      </c>
      <c r="E50" s="117" t="s">
        <v>188</v>
      </c>
      <c r="F50" s="112" t="s">
        <v>1</v>
      </c>
      <c r="G50" s="115"/>
      <c r="H50" s="47"/>
      <c r="I50" s="119"/>
      <c r="J50" s="47"/>
    </row>
    <row r="51" spans="1:10" s="2" customFormat="1" ht="51.4" thickBot="1" x14ac:dyDescent="0.45">
      <c r="A51" s="35">
        <f>HYPERLINK("https://bluetooth.atlassian.net/browse/ES-2484",2484)</f>
        <v>2484</v>
      </c>
      <c r="B51" s="36" t="s">
        <v>625</v>
      </c>
      <c r="C51" s="36">
        <v>1.5</v>
      </c>
      <c r="D51" s="36" t="s">
        <v>309</v>
      </c>
      <c r="E51" s="116" t="s">
        <v>188</v>
      </c>
      <c r="F51" s="118" t="s">
        <v>1</v>
      </c>
      <c r="G51" s="36"/>
      <c r="H51" s="35"/>
      <c r="I51" s="36"/>
      <c r="J51" s="36"/>
    </row>
    <row r="52" spans="1:10" s="2" customFormat="1" ht="25.9" thickBot="1" x14ac:dyDescent="0.45">
      <c r="A52" s="45">
        <f>HYPERLINK("https://bluetooth.atlassian.net/browse/ES-2713",2713)</f>
        <v>2713</v>
      </c>
      <c r="B52" s="38" t="s">
        <v>625</v>
      </c>
      <c r="C52" s="47">
        <v>1.5</v>
      </c>
      <c r="D52" s="47" t="s">
        <v>310</v>
      </c>
      <c r="E52" s="117" t="s">
        <v>188</v>
      </c>
      <c r="F52" s="112" t="s">
        <v>1</v>
      </c>
      <c r="G52" s="115"/>
      <c r="H52" s="45"/>
      <c r="I52" s="119"/>
      <c r="J52" s="47"/>
    </row>
    <row r="53" spans="1:10" s="2" customFormat="1" ht="25.9" thickBot="1" x14ac:dyDescent="0.45">
      <c r="A53" s="35">
        <f>HYPERLINK("https://bluetooth.atlassian.net/browse/ES-2716",2716)</f>
        <v>2716</v>
      </c>
      <c r="B53" s="36" t="s">
        <v>625</v>
      </c>
      <c r="C53" s="36">
        <v>1.5</v>
      </c>
      <c r="D53" s="36" t="s">
        <v>311</v>
      </c>
      <c r="E53" s="116" t="s">
        <v>188</v>
      </c>
      <c r="F53" s="118" t="s">
        <v>1</v>
      </c>
      <c r="G53" s="36"/>
      <c r="H53" s="35"/>
      <c r="I53" s="36"/>
      <c r="J53" s="36"/>
    </row>
    <row r="54" spans="1:10" s="2" customFormat="1" ht="25.9" thickBot="1" x14ac:dyDescent="0.45">
      <c r="A54" s="45">
        <f>HYPERLINK("https://bluetooth.atlassian.net/browse/ES-2742",2742)</f>
        <v>2742</v>
      </c>
      <c r="B54" s="38" t="s">
        <v>625</v>
      </c>
      <c r="C54" s="47">
        <v>1.5</v>
      </c>
      <c r="D54" s="47" t="s">
        <v>312</v>
      </c>
      <c r="E54" s="117" t="s">
        <v>188</v>
      </c>
      <c r="F54" s="112" t="s">
        <v>1</v>
      </c>
      <c r="G54" s="115"/>
      <c r="H54" s="45"/>
      <c r="I54" s="119"/>
      <c r="J54" s="47"/>
    </row>
    <row r="55" spans="1:10" s="2" customFormat="1" ht="25.9" thickBot="1" x14ac:dyDescent="0.45">
      <c r="A55" s="35">
        <f>HYPERLINK("https://bluetooth.atlassian.net/browse/ES-2855",2855)</f>
        <v>2855</v>
      </c>
      <c r="B55" s="36" t="s">
        <v>625</v>
      </c>
      <c r="C55" s="36">
        <v>1.5</v>
      </c>
      <c r="D55" s="36" t="s">
        <v>313</v>
      </c>
      <c r="E55" s="116" t="s">
        <v>188</v>
      </c>
      <c r="F55" s="118" t="s">
        <v>1</v>
      </c>
      <c r="G55" s="36"/>
      <c r="H55" s="35"/>
      <c r="I55" s="36"/>
      <c r="J55" s="36"/>
    </row>
    <row r="56" spans="1:10" s="2" customFormat="1" ht="51.4" thickBot="1" x14ac:dyDescent="0.45">
      <c r="A56" s="45">
        <f>HYPERLINK("https://bluetooth.atlassian.net/browse/ES-3090",3090)</f>
        <v>3090</v>
      </c>
      <c r="B56" s="38" t="s">
        <v>625</v>
      </c>
      <c r="C56" s="47">
        <v>1.5</v>
      </c>
      <c r="D56" s="47" t="s">
        <v>314</v>
      </c>
      <c r="E56" s="117" t="s">
        <v>188</v>
      </c>
      <c r="F56" s="112" t="s">
        <v>1</v>
      </c>
      <c r="G56" s="115"/>
      <c r="H56" s="47"/>
      <c r="I56" s="119"/>
      <c r="J56" s="47" t="s">
        <v>315</v>
      </c>
    </row>
    <row r="57" spans="1:10" s="2" customFormat="1" ht="89.65" thickBot="1" x14ac:dyDescent="0.45">
      <c r="A57" s="35">
        <f>HYPERLINK("https://bluetooth.atlassian.net/browse/ES-3152",3152)</f>
        <v>3152</v>
      </c>
      <c r="B57" s="36" t="s">
        <v>625</v>
      </c>
      <c r="C57" s="36">
        <v>1.5</v>
      </c>
      <c r="D57" s="36" t="s">
        <v>316</v>
      </c>
      <c r="E57" s="116" t="s">
        <v>5</v>
      </c>
      <c r="F57" s="118" t="s">
        <v>1</v>
      </c>
      <c r="G57" s="36"/>
      <c r="H57" s="35"/>
      <c r="I57" s="36"/>
      <c r="J57" s="36" t="s">
        <v>317</v>
      </c>
    </row>
    <row r="58" spans="1:10" s="3" customFormat="1" ht="38.65" thickBot="1" x14ac:dyDescent="0.4">
      <c r="A58" s="48">
        <f>HYPERLINK("https://bluetooth.atlassian.net/browse/ES-3688",3688)</f>
        <v>3688</v>
      </c>
      <c r="B58" s="38" t="s">
        <v>625</v>
      </c>
      <c r="C58" s="38">
        <v>1.6</v>
      </c>
      <c r="D58" s="38" t="s">
        <v>318</v>
      </c>
      <c r="E58" s="117" t="s">
        <v>188</v>
      </c>
      <c r="F58" s="112" t="s">
        <v>1</v>
      </c>
      <c r="G58" s="115"/>
      <c r="H58" s="38"/>
      <c r="I58" s="119"/>
      <c r="J58" s="47" t="s">
        <v>319</v>
      </c>
    </row>
    <row r="59" spans="1:10" s="3" customFormat="1" ht="102.4" thickBot="1" x14ac:dyDescent="0.4">
      <c r="A59" s="49">
        <f>HYPERLINK("https://bluetooth.atlassian.net/browse/ES-3816",3816)</f>
        <v>3816</v>
      </c>
      <c r="B59" s="36" t="s">
        <v>625</v>
      </c>
      <c r="C59" s="36">
        <v>1.5</v>
      </c>
      <c r="D59" s="36" t="s">
        <v>320</v>
      </c>
      <c r="E59" s="116" t="s">
        <v>188</v>
      </c>
      <c r="F59" s="118" t="s">
        <v>1</v>
      </c>
      <c r="G59" s="36"/>
      <c r="H59" s="35"/>
      <c r="I59" s="36"/>
      <c r="J59" s="36" t="s">
        <v>321</v>
      </c>
    </row>
    <row r="60" spans="1:10" s="3" customFormat="1" ht="38.65" thickBot="1" x14ac:dyDescent="0.4">
      <c r="A60" s="48">
        <f>HYPERLINK("https://bluetooth.atlassian.net/browse/ES-3910",3910)</f>
        <v>3910</v>
      </c>
      <c r="B60" s="38" t="s">
        <v>625</v>
      </c>
      <c r="C60" s="38">
        <v>1.6</v>
      </c>
      <c r="D60" s="38" t="s">
        <v>322</v>
      </c>
      <c r="E60" s="117" t="s">
        <v>188</v>
      </c>
      <c r="F60" s="112" t="s">
        <v>1</v>
      </c>
      <c r="G60" s="115"/>
      <c r="H60" s="38"/>
      <c r="I60" s="119"/>
      <c r="J60" s="47" t="s">
        <v>323</v>
      </c>
    </row>
    <row r="61" spans="1:10" s="3" customFormat="1" ht="25.9" thickBot="1" x14ac:dyDescent="0.4">
      <c r="A61" s="51">
        <f>HYPERLINK("https://bluetooth.atlassian.net/browse/ES-4718",4718)</f>
        <v>4718</v>
      </c>
      <c r="B61" s="36" t="s">
        <v>625</v>
      </c>
      <c r="C61" s="52">
        <v>1.6</v>
      </c>
      <c r="D61" s="52" t="s">
        <v>324</v>
      </c>
      <c r="E61" s="116" t="s">
        <v>188</v>
      </c>
      <c r="F61" s="118" t="s">
        <v>1</v>
      </c>
      <c r="G61" s="36"/>
      <c r="H61" s="52"/>
      <c r="I61" s="36"/>
      <c r="J61" s="52" t="s">
        <v>325</v>
      </c>
    </row>
    <row r="62" spans="1:10" s="3" customFormat="1" ht="25.9" thickBot="1" x14ac:dyDescent="0.4">
      <c r="A62" s="48">
        <f>HYPERLINK("https://bluetooth.atlassian.net/browse/ES-4893",4893)</f>
        <v>4893</v>
      </c>
      <c r="B62" s="38" t="s">
        <v>625</v>
      </c>
      <c r="C62" s="38">
        <v>1.6</v>
      </c>
      <c r="D62" s="38" t="s">
        <v>326</v>
      </c>
      <c r="E62" s="117" t="s">
        <v>5</v>
      </c>
      <c r="F62" s="112" t="s">
        <v>1</v>
      </c>
      <c r="G62" s="115"/>
      <c r="H62" s="38"/>
      <c r="I62" s="119"/>
      <c r="J62" s="38"/>
    </row>
    <row r="63" spans="1:10" s="3" customFormat="1" ht="25.9" thickBot="1" x14ac:dyDescent="0.4">
      <c r="A63" s="49">
        <f>HYPERLINK("https://bluetooth.atlassian.net/browse/ES-5213",5213)</f>
        <v>5213</v>
      </c>
      <c r="B63" s="36" t="s">
        <v>625</v>
      </c>
      <c r="C63" s="52">
        <v>1.6</v>
      </c>
      <c r="D63" s="36" t="s">
        <v>327</v>
      </c>
      <c r="E63" s="116" t="s">
        <v>188</v>
      </c>
      <c r="F63" s="118" t="s">
        <v>1</v>
      </c>
      <c r="G63" s="36"/>
      <c r="H63" s="36"/>
      <c r="I63" s="36"/>
      <c r="J63" s="36" t="s">
        <v>4</v>
      </c>
    </row>
    <row r="64" spans="1:10" s="3" customFormat="1" ht="13.15" thickBot="1" x14ac:dyDescent="0.4">
      <c r="A64" s="53">
        <f>HYPERLINK("https://bluetooth.atlassian.net/browse/ES-5336",5336)</f>
        <v>5336</v>
      </c>
      <c r="B64" s="38" t="s">
        <v>625</v>
      </c>
      <c r="C64" s="38">
        <v>1.6</v>
      </c>
      <c r="D64" s="47" t="s">
        <v>328</v>
      </c>
      <c r="E64" s="117" t="s">
        <v>5</v>
      </c>
      <c r="F64" s="112" t="s">
        <v>1</v>
      </c>
      <c r="G64" s="115"/>
      <c r="H64" s="47"/>
      <c r="I64" s="119"/>
      <c r="J64" s="47" t="s">
        <v>4</v>
      </c>
    </row>
    <row r="65" spans="1:10" s="3" customFormat="1" ht="13.15" thickBot="1" x14ac:dyDescent="0.4">
      <c r="A65" s="51">
        <f>HYPERLINK("https://bluetooth.atlassian.net/browse/ES-5806",5806)</f>
        <v>5806</v>
      </c>
      <c r="B65" s="36" t="s">
        <v>625</v>
      </c>
      <c r="C65" s="52">
        <v>1.6</v>
      </c>
      <c r="D65" s="52" t="s">
        <v>329</v>
      </c>
      <c r="E65" s="116" t="s">
        <v>5</v>
      </c>
      <c r="F65" s="118" t="s">
        <v>1</v>
      </c>
      <c r="G65" s="36"/>
      <c r="H65" s="52"/>
      <c r="I65" s="36"/>
      <c r="J65" s="52" t="s">
        <v>4</v>
      </c>
    </row>
    <row r="66" spans="1:10" s="3" customFormat="1" ht="25.9" thickBot="1" x14ac:dyDescent="0.4">
      <c r="A66" s="48">
        <f>HYPERLINK("https://bluetooth.atlassian.net/browse/ES-6105",6105)</f>
        <v>6105</v>
      </c>
      <c r="B66" s="38" t="s">
        <v>625</v>
      </c>
      <c r="C66" s="38">
        <v>1.7</v>
      </c>
      <c r="D66" s="38" t="s">
        <v>330</v>
      </c>
      <c r="E66" s="117" t="s">
        <v>188</v>
      </c>
      <c r="F66" s="112" t="s">
        <v>1</v>
      </c>
      <c r="G66" s="115"/>
      <c r="H66" s="38"/>
      <c r="I66" s="119"/>
      <c r="J66" s="38" t="s">
        <v>23</v>
      </c>
    </row>
    <row r="67" spans="1:10" s="3" customFormat="1" ht="25.9" thickBot="1" x14ac:dyDescent="0.4">
      <c r="A67" s="49">
        <f>HYPERLINK("https://bluetooth.atlassian.net/browse/ES-6544",6544)</f>
        <v>6544</v>
      </c>
      <c r="B67" s="36" t="s">
        <v>625</v>
      </c>
      <c r="C67" s="36">
        <v>1.7</v>
      </c>
      <c r="D67" s="36" t="s">
        <v>331</v>
      </c>
      <c r="E67" s="116" t="s">
        <v>188</v>
      </c>
      <c r="F67" s="118" t="s">
        <v>1</v>
      </c>
      <c r="G67" s="36"/>
      <c r="H67" s="36"/>
      <c r="I67" s="36"/>
      <c r="J67" s="36" t="s">
        <v>4</v>
      </c>
    </row>
    <row r="68" spans="1:10" s="3" customFormat="1" ht="13.15" thickBot="1" x14ac:dyDescent="0.4">
      <c r="A68" s="53">
        <f>HYPERLINK("https://bluetooth.atlassian.net/browse/ES-6628",6628)</f>
        <v>6628</v>
      </c>
      <c r="B68" s="38" t="s">
        <v>625</v>
      </c>
      <c r="C68" s="38">
        <v>1.7</v>
      </c>
      <c r="D68" s="47" t="s">
        <v>332</v>
      </c>
      <c r="E68" s="117" t="s">
        <v>5</v>
      </c>
      <c r="F68" s="112" t="s">
        <v>1</v>
      </c>
      <c r="G68" s="115"/>
      <c r="H68" s="47"/>
      <c r="I68" s="119"/>
      <c r="J68" s="47" t="s">
        <v>4</v>
      </c>
    </row>
    <row r="69" spans="1:10" ht="38.65" thickBot="1" x14ac:dyDescent="0.4">
      <c r="A69" s="35">
        <f>HYPERLINK("https://bluetooth.atlassian.net/browse/ES-6835",6835)</f>
        <v>6835</v>
      </c>
      <c r="B69" s="36" t="s">
        <v>625</v>
      </c>
      <c r="C69" s="36">
        <v>1.7</v>
      </c>
      <c r="D69" s="36" t="s">
        <v>333</v>
      </c>
      <c r="E69" s="116" t="s">
        <v>188</v>
      </c>
      <c r="F69" s="118" t="s">
        <v>604</v>
      </c>
      <c r="G69" s="36" t="s">
        <v>188</v>
      </c>
      <c r="H69" s="35">
        <f>HYPERLINK("https://bluetooth.atlassian.net/browse/ES-9904",9904)</f>
        <v>9904</v>
      </c>
      <c r="I69" s="36" t="s">
        <v>42</v>
      </c>
      <c r="J69" s="36" t="s">
        <v>350</v>
      </c>
    </row>
    <row r="70" spans="1:10" ht="13.15" thickBot="1" x14ac:dyDescent="0.4">
      <c r="A70" s="48">
        <f>HYPERLINK("https://bluetooth.atlassian.net/browse/ES-8620",8620)</f>
        <v>8620</v>
      </c>
      <c r="B70" s="38" t="s">
        <v>625</v>
      </c>
      <c r="C70" s="38" t="s">
        <v>624</v>
      </c>
      <c r="D70" s="38" t="s">
        <v>300</v>
      </c>
      <c r="E70" s="117" t="s">
        <v>5</v>
      </c>
      <c r="F70" s="112" t="s">
        <v>1</v>
      </c>
      <c r="G70" s="115"/>
      <c r="H70" s="38"/>
      <c r="I70" s="119"/>
      <c r="J70" s="38" t="s">
        <v>4</v>
      </c>
    </row>
    <row r="71" spans="1:10" ht="25.9" thickBot="1" x14ac:dyDescent="0.4">
      <c r="A71" s="49">
        <f>HYPERLINK("https://bluetooth.atlassian.net/browse/ES-8738",8738)</f>
        <v>8738</v>
      </c>
      <c r="B71" s="36" t="s">
        <v>625</v>
      </c>
      <c r="C71" s="36">
        <v>1.5</v>
      </c>
      <c r="D71" s="36" t="s">
        <v>334</v>
      </c>
      <c r="E71" s="116" t="s">
        <v>188</v>
      </c>
      <c r="F71" s="118" t="s">
        <v>1</v>
      </c>
      <c r="G71" s="36"/>
      <c r="H71" s="50"/>
      <c r="I71" s="36"/>
      <c r="J71" s="36"/>
    </row>
    <row r="72" spans="1:10" ht="25.9" thickBot="1" x14ac:dyDescent="0.4">
      <c r="A72" s="48">
        <f>HYPERLINK("https://bluetooth.atlassian.net/browse/ES-8739",8739)</f>
        <v>8739</v>
      </c>
      <c r="B72" s="38" t="s">
        <v>625</v>
      </c>
      <c r="C72" s="38">
        <v>1.6</v>
      </c>
      <c r="D72" s="38" t="s">
        <v>335</v>
      </c>
      <c r="E72" s="117" t="s">
        <v>188</v>
      </c>
      <c r="F72" s="112" t="s">
        <v>1</v>
      </c>
      <c r="G72" s="115"/>
      <c r="H72" s="38"/>
      <c r="I72" s="119"/>
      <c r="J72" s="38"/>
    </row>
    <row r="73" spans="1:10" ht="25.9" thickBot="1" x14ac:dyDescent="0.4">
      <c r="A73" s="51">
        <f>HYPERLINK("https://bluetooth.atlassian.net/browse/ES-9009",9009)</f>
        <v>9009</v>
      </c>
      <c r="B73" s="36" t="s">
        <v>625</v>
      </c>
      <c r="C73" s="52" t="s">
        <v>624</v>
      </c>
      <c r="D73" s="52" t="s">
        <v>336</v>
      </c>
      <c r="E73" s="116" t="s">
        <v>188</v>
      </c>
      <c r="F73" s="118" t="s">
        <v>1</v>
      </c>
      <c r="G73" s="36"/>
      <c r="H73" s="52"/>
      <c r="I73" s="36"/>
      <c r="J73" s="52" t="s">
        <v>4</v>
      </c>
    </row>
    <row r="74" spans="1:10" ht="25.9" thickBot="1" x14ac:dyDescent="0.4">
      <c r="A74" s="48">
        <f>HYPERLINK("https://bluetooth.atlassian.net/browse/ES-9034",9034)</f>
        <v>9034</v>
      </c>
      <c r="B74" s="38" t="s">
        <v>625</v>
      </c>
      <c r="C74" s="38" t="s">
        <v>624</v>
      </c>
      <c r="D74" s="38" t="s">
        <v>337</v>
      </c>
      <c r="E74" s="117" t="s">
        <v>188</v>
      </c>
      <c r="F74" s="112" t="s">
        <v>1</v>
      </c>
      <c r="G74" s="115"/>
      <c r="H74" s="38"/>
      <c r="I74" s="119"/>
      <c r="J74" s="38"/>
    </row>
    <row r="75" spans="1:10" ht="13.15" thickBot="1" x14ac:dyDescent="0.4">
      <c r="A75" s="49">
        <f>HYPERLINK("https://bluetooth.atlassian.net/browse/ES-9089",9089)</f>
        <v>9089</v>
      </c>
      <c r="B75" s="36" t="s">
        <v>625</v>
      </c>
      <c r="C75" s="52" t="s">
        <v>624</v>
      </c>
      <c r="D75" s="36" t="s">
        <v>338</v>
      </c>
      <c r="E75" s="116" t="s">
        <v>5</v>
      </c>
      <c r="F75" s="118" t="s">
        <v>1</v>
      </c>
      <c r="G75" s="36"/>
      <c r="H75" s="36"/>
      <c r="I75" s="36"/>
      <c r="J75" s="36" t="s">
        <v>4</v>
      </c>
    </row>
    <row r="76" spans="1:10" ht="25.9" thickBot="1" x14ac:dyDescent="0.4">
      <c r="A76" s="53">
        <f>HYPERLINK("https://bluetooth.atlassian.net/browse/ES-9119",9119)</f>
        <v>9119</v>
      </c>
      <c r="B76" s="38" t="s">
        <v>625</v>
      </c>
      <c r="C76" s="38" t="s">
        <v>624</v>
      </c>
      <c r="D76" s="47" t="s">
        <v>339</v>
      </c>
      <c r="E76" s="117" t="s">
        <v>5</v>
      </c>
      <c r="F76" s="112" t="s">
        <v>1</v>
      </c>
      <c r="G76" s="115"/>
      <c r="H76" s="47"/>
      <c r="I76" s="119"/>
      <c r="J76" s="47" t="s">
        <v>4</v>
      </c>
    </row>
    <row r="77" spans="1:10" ht="27" customHeight="1" thickBot="1" x14ac:dyDescent="0.4">
      <c r="A77" s="51">
        <f>HYPERLINK("https://bluetooth.atlassian.net/browse/ES-9122",9122)</f>
        <v>9122</v>
      </c>
      <c r="B77" s="36" t="s">
        <v>625</v>
      </c>
      <c r="C77" s="52" t="s">
        <v>624</v>
      </c>
      <c r="D77" s="52" t="s">
        <v>340</v>
      </c>
      <c r="E77" s="116" t="s">
        <v>188</v>
      </c>
      <c r="F77" s="118" t="s">
        <v>1</v>
      </c>
      <c r="G77" s="36"/>
      <c r="H77" s="52"/>
      <c r="I77" s="36"/>
      <c r="J77" s="52"/>
    </row>
    <row r="78" spans="1:10" ht="13.15" thickBot="1" x14ac:dyDescent="0.4">
      <c r="A78" s="48">
        <f>HYPERLINK("https://bluetooth.atlassian.net/browse/ES-9123",9123)</f>
        <v>9123</v>
      </c>
      <c r="B78" s="38" t="s">
        <v>625</v>
      </c>
      <c r="C78" s="38" t="s">
        <v>624</v>
      </c>
      <c r="D78" s="38" t="s">
        <v>300</v>
      </c>
      <c r="E78" s="117" t="s">
        <v>5</v>
      </c>
      <c r="F78" s="112" t="s">
        <v>1</v>
      </c>
      <c r="G78" s="115"/>
      <c r="H78" s="38"/>
      <c r="I78" s="119"/>
      <c r="J78" s="38"/>
    </row>
    <row r="79" spans="1:10" ht="13.15" thickBot="1" x14ac:dyDescent="0.4">
      <c r="A79" s="49">
        <f>HYPERLINK("https://bluetooth.atlassian.net/browse/ES-9127",9127)</f>
        <v>9127</v>
      </c>
      <c r="B79" s="36" t="s">
        <v>625</v>
      </c>
      <c r="C79" s="52" t="s">
        <v>624</v>
      </c>
      <c r="D79" s="36" t="s">
        <v>341</v>
      </c>
      <c r="E79" s="116" t="s">
        <v>5</v>
      </c>
      <c r="F79" s="118" t="s">
        <v>1</v>
      </c>
      <c r="G79" s="36"/>
      <c r="H79" s="36"/>
      <c r="I79" s="36"/>
      <c r="J79" s="36"/>
    </row>
    <row r="80" spans="1:10" ht="13.15" thickBot="1" x14ac:dyDescent="0.4">
      <c r="A80" s="53">
        <f>HYPERLINK("https://bluetooth.atlassian.net/browse/ES-9158",9158)</f>
        <v>9158</v>
      </c>
      <c r="B80" s="38" t="s">
        <v>625</v>
      </c>
      <c r="C80" s="38" t="s">
        <v>624</v>
      </c>
      <c r="D80" s="47" t="s">
        <v>342</v>
      </c>
      <c r="E80" s="117" t="s">
        <v>5</v>
      </c>
      <c r="F80" s="112" t="s">
        <v>1</v>
      </c>
      <c r="G80" s="115"/>
      <c r="H80" s="47"/>
      <c r="I80" s="119"/>
      <c r="J80" s="47"/>
    </row>
    <row r="81" spans="1:10" ht="25.9" thickBot="1" x14ac:dyDescent="0.4">
      <c r="A81" s="49">
        <f>HYPERLINK("https://bluetooth.atlassian.net/browse/ES-9168",9168)</f>
        <v>9168</v>
      </c>
      <c r="B81" s="36" t="s">
        <v>625</v>
      </c>
      <c r="C81" s="52" t="s">
        <v>624</v>
      </c>
      <c r="D81" s="36" t="s">
        <v>343</v>
      </c>
      <c r="E81" s="116" t="s">
        <v>188</v>
      </c>
      <c r="F81" s="118" t="s">
        <v>1</v>
      </c>
      <c r="G81" s="36"/>
      <c r="H81" s="50"/>
      <c r="I81" s="36"/>
      <c r="J81" s="36"/>
    </row>
    <row r="82" spans="1:10" ht="13.15" thickBot="1" x14ac:dyDescent="0.4">
      <c r="A82" s="48">
        <f>HYPERLINK("https://bluetooth.atlassian.net/browse/ES-9169",9169)</f>
        <v>9169</v>
      </c>
      <c r="B82" s="38" t="s">
        <v>625</v>
      </c>
      <c r="C82" s="38" t="s">
        <v>624</v>
      </c>
      <c r="D82" s="38" t="s">
        <v>344</v>
      </c>
      <c r="E82" s="117" t="s">
        <v>5</v>
      </c>
      <c r="F82" s="112" t="s">
        <v>1</v>
      </c>
      <c r="G82" s="115"/>
      <c r="H82" s="38"/>
      <c r="I82" s="119"/>
      <c r="J82" s="38"/>
    </row>
    <row r="83" spans="1:10" ht="13.15" thickBot="1" x14ac:dyDescent="0.4">
      <c r="A83" s="51">
        <f>HYPERLINK("https://bluetooth.atlassian.net/browse/ES-9170",9170)</f>
        <v>9170</v>
      </c>
      <c r="B83" s="36" t="s">
        <v>625</v>
      </c>
      <c r="C83" s="52" t="s">
        <v>624</v>
      </c>
      <c r="D83" s="52" t="s">
        <v>300</v>
      </c>
      <c r="E83" s="116" t="s">
        <v>5</v>
      </c>
      <c r="F83" s="118" t="s">
        <v>1</v>
      </c>
      <c r="G83" s="36"/>
      <c r="H83" s="52"/>
      <c r="I83" s="36"/>
      <c r="J83" s="52"/>
    </row>
    <row r="84" spans="1:10" ht="25.9" thickBot="1" x14ac:dyDescent="0.4">
      <c r="A84" s="48">
        <f>HYPERLINK("https://bluetooth.atlassian.net/browse/ES-9174",9174)</f>
        <v>9174</v>
      </c>
      <c r="B84" s="38" t="s">
        <v>625</v>
      </c>
      <c r="C84" s="38" t="s">
        <v>624</v>
      </c>
      <c r="D84" s="38" t="s">
        <v>345</v>
      </c>
      <c r="E84" s="117" t="s">
        <v>5</v>
      </c>
      <c r="F84" s="112" t="s">
        <v>1</v>
      </c>
      <c r="G84" s="115"/>
      <c r="H84" s="38"/>
      <c r="I84" s="119"/>
      <c r="J84" s="38"/>
    </row>
    <row r="85" spans="1:10" ht="25.9" thickBot="1" x14ac:dyDescent="0.4">
      <c r="A85" s="49">
        <f>HYPERLINK("https://bluetooth.atlassian.net/browse/ES-9203",9203)</f>
        <v>9203</v>
      </c>
      <c r="B85" s="36" t="s">
        <v>625</v>
      </c>
      <c r="C85" s="52" t="s">
        <v>624</v>
      </c>
      <c r="D85" s="36" t="s">
        <v>346</v>
      </c>
      <c r="E85" s="116" t="s">
        <v>5</v>
      </c>
      <c r="F85" s="118" t="s">
        <v>1</v>
      </c>
      <c r="G85" s="36"/>
      <c r="H85" s="36"/>
      <c r="I85" s="36"/>
      <c r="J85" s="36"/>
    </row>
    <row r="86" spans="1:10" ht="25.9" thickBot="1" x14ac:dyDescent="0.4">
      <c r="A86" s="53">
        <f>HYPERLINK("https://bluetooth.atlassian.net/browse/ES-9204",9204)</f>
        <v>9204</v>
      </c>
      <c r="B86" s="38" t="s">
        <v>625</v>
      </c>
      <c r="C86" s="38" t="s">
        <v>624</v>
      </c>
      <c r="D86" s="47" t="s">
        <v>347</v>
      </c>
      <c r="E86" s="117" t="s">
        <v>5</v>
      </c>
      <c r="F86" s="112" t="s">
        <v>1</v>
      </c>
      <c r="G86" s="115"/>
      <c r="H86" s="47"/>
      <c r="I86" s="119"/>
      <c r="J86" s="47"/>
    </row>
    <row r="87" spans="1:10" ht="25.9" thickBot="1" x14ac:dyDescent="0.4">
      <c r="A87" s="51">
        <f>HYPERLINK("https://bluetooth.atlassian.net/browse/ES-10424",10424)</f>
        <v>10424</v>
      </c>
      <c r="B87" s="36" t="s">
        <v>625</v>
      </c>
      <c r="C87" s="52" t="s">
        <v>624</v>
      </c>
      <c r="D87" s="52" t="s">
        <v>348</v>
      </c>
      <c r="E87" s="116" t="s">
        <v>188</v>
      </c>
      <c r="F87" s="118" t="s">
        <v>1</v>
      </c>
      <c r="G87" s="36"/>
      <c r="H87" s="52"/>
      <c r="I87" s="36"/>
      <c r="J87" s="52"/>
    </row>
    <row r="88" spans="1:10" ht="25.9" thickBot="1" x14ac:dyDescent="0.4">
      <c r="A88" s="48">
        <f>HYPERLINK("https://bluetooth.atlassian.net/browse/ES-11729",11729)</f>
        <v>11729</v>
      </c>
      <c r="B88" s="38" t="s">
        <v>625</v>
      </c>
      <c r="C88" s="38" t="s">
        <v>624</v>
      </c>
      <c r="D88" s="38" t="s">
        <v>349</v>
      </c>
      <c r="E88" s="117" t="s">
        <v>188</v>
      </c>
      <c r="F88" s="112" t="s">
        <v>1</v>
      </c>
      <c r="G88" s="115"/>
      <c r="H88" s="38"/>
      <c r="I88" s="119"/>
      <c r="J88" s="38"/>
    </row>
  </sheetData>
  <mergeCells count="21">
    <mergeCell ref="A14:B14"/>
    <mergeCell ref="D4:F4"/>
    <mergeCell ref="D5:F5"/>
    <mergeCell ref="D6:F6"/>
    <mergeCell ref="D7:F7"/>
    <mergeCell ref="G9:I9"/>
    <mergeCell ref="G10:I10"/>
    <mergeCell ref="G11:I11"/>
    <mergeCell ref="G12:I12"/>
    <mergeCell ref="A2:I2"/>
    <mergeCell ref="A3:I3"/>
    <mergeCell ref="G4:I4"/>
    <mergeCell ref="G5:I5"/>
    <mergeCell ref="G6:I6"/>
    <mergeCell ref="G7:I7"/>
    <mergeCell ref="G8:I8"/>
    <mergeCell ref="D8:F8"/>
    <mergeCell ref="D9:F9"/>
    <mergeCell ref="D10:F10"/>
    <mergeCell ref="D11:F11"/>
    <mergeCell ref="D12:F12"/>
  </mergeCells>
  <phoneticPr fontId="18" type="noConversion"/>
  <conditionalFormatting sqref="F17:F88">
    <cfRule type="cellIs" dxfId="10" priority="1" operator="greaterThan">
      <formula>"Yes"</formula>
    </cfRule>
  </conditionalFormatting>
  <dataValidations count="7">
    <dataValidation type="list" allowBlank="1" sqref="I16" xr:uid="{00000000-0002-0000-1000-000000000000}">
      <formula1>#REF!</formula1>
    </dataValidation>
    <dataValidation allowBlank="1" sqref="H17:H88" xr:uid="{F74C4067-63A7-4441-8F5B-56FD098957B6}"/>
    <dataValidation type="list" allowBlank="1" showInputMessage="1" showErrorMessage="1" sqref="E17:E88" xr:uid="{FAEB7F77-94C2-4726-B782-6197B1848920}">
      <formula1>"Editorial,1/Technical Low,2/Technical Medium,3/Technical High,4/Technical Critical,Not Categorized"</formula1>
    </dataValidation>
    <dataValidation type="list" allowBlank="1" sqref="F17:F88" xr:uid="{748E8240-B82D-4FA1-A6A2-1B8AE97F31B1}">
      <formula1>"No,Yes - doesn't need to wait for erratum,Yes - tied to spec change,Not Reviewed"</formula1>
    </dataValidation>
    <dataValidation type="list" allowBlank="1" sqref="F16:H16" xr:uid="{6F9E1121-F450-41DF-9BE8-0A79B0F34B31}">
      <formula1>#REF!</formula1>
    </dataValidation>
    <dataValidation type="list" allowBlank="1" showInputMessage="1" showErrorMessage="1" sqref="G17:G88" xr:uid="{C9002BC6-9BD0-43AB-AA36-5DE8E5DBEE1E}">
      <formula1>"1,2,3,4,Not Categorized"</formula1>
    </dataValidation>
    <dataValidation type="list" allowBlank="1" sqref="I17:I88" xr:uid="{1BB2C4D9-D083-48BC-94BA-A69153B20009}">
      <formula1>"Open,Approved,Rejected,Released"</formula1>
    </dataValidation>
  </dataValidations>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J21"/>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9" customWidth="1"/>
  </cols>
  <sheetData>
    <row r="1" spans="1:10" ht="28.5" customHeight="1" thickBot="1" x14ac:dyDescent="0.65">
      <c r="A1" s="19" t="s">
        <v>365</v>
      </c>
      <c r="B1" s="25"/>
      <c r="C1" s="25"/>
      <c r="D1" s="3"/>
      <c r="E1" s="3"/>
      <c r="F1" s="28"/>
      <c r="G1" s="28"/>
      <c r="H1" s="28"/>
      <c r="I1" s="28"/>
      <c r="J1" s="29"/>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30" customHeight="1" thickBot="1" x14ac:dyDescent="0.5">
      <c r="A4" s="30" t="s">
        <v>8</v>
      </c>
      <c r="B4" s="31" t="s">
        <v>6</v>
      </c>
      <c r="C4" s="30" t="s">
        <v>541</v>
      </c>
      <c r="D4" s="175" t="s">
        <v>9</v>
      </c>
      <c r="E4" s="176"/>
      <c r="F4" s="177"/>
      <c r="G4" s="175" t="s">
        <v>550</v>
      </c>
      <c r="H4" s="176"/>
      <c r="I4" s="177"/>
      <c r="J4" s="29"/>
    </row>
    <row r="5" spans="1:10" s="5" customFormat="1" ht="232.5" customHeight="1" thickBot="1" x14ac:dyDescent="0.5">
      <c r="A5" s="143" t="s">
        <v>352</v>
      </c>
      <c r="B5" s="94">
        <v>40960</v>
      </c>
      <c r="C5" s="143" t="s">
        <v>556</v>
      </c>
      <c r="D5" s="194" t="s">
        <v>537</v>
      </c>
      <c r="E5" s="195"/>
      <c r="F5" s="196"/>
      <c r="G5" s="194" t="s">
        <v>353</v>
      </c>
      <c r="H5" s="195"/>
      <c r="I5" s="196"/>
      <c r="J5" s="29"/>
    </row>
    <row r="6" spans="1:10" s="5" customFormat="1" ht="15.7" customHeight="1" thickBot="1" x14ac:dyDescent="0.5">
      <c r="A6" s="94" t="s">
        <v>351</v>
      </c>
      <c r="B6" s="94">
        <v>42353</v>
      </c>
      <c r="C6" s="94" t="s">
        <v>15</v>
      </c>
      <c r="D6" s="184" t="s">
        <v>363</v>
      </c>
      <c r="E6" s="185"/>
      <c r="F6" s="186"/>
      <c r="G6" s="188" t="s">
        <v>92</v>
      </c>
      <c r="H6" s="189"/>
      <c r="I6" s="190"/>
      <c r="J6" s="29"/>
    </row>
    <row r="7" spans="1:10" s="5" customFormat="1" ht="14.25" x14ac:dyDescent="0.45">
      <c r="A7" s="137"/>
      <c r="B7" s="137"/>
      <c r="C7" s="137"/>
      <c r="D7" s="137"/>
      <c r="E7" s="137"/>
      <c r="F7" s="137"/>
      <c r="G7" s="137"/>
      <c r="H7" s="137"/>
      <c r="I7" s="137"/>
      <c r="J7" s="29"/>
    </row>
    <row r="8" spans="1:10" ht="21" customHeight="1" x14ac:dyDescent="0.4">
      <c r="A8" s="187" t="s">
        <v>7</v>
      </c>
      <c r="B8" s="187"/>
      <c r="C8" s="134"/>
      <c r="D8" s="135"/>
      <c r="E8" s="135"/>
      <c r="F8" s="136"/>
      <c r="G8" s="136"/>
      <c r="H8" s="136"/>
      <c r="I8" s="136"/>
      <c r="J8" s="3"/>
    </row>
    <row r="9" spans="1:10" ht="21" customHeight="1" thickBot="1" x14ac:dyDescent="0.45">
      <c r="A9" s="132" t="s">
        <v>660</v>
      </c>
      <c r="B9" s="133"/>
      <c r="C9" s="134"/>
      <c r="D9" s="132"/>
      <c r="E9" s="135"/>
      <c r="F9" s="136"/>
      <c r="G9" s="136"/>
      <c r="H9" s="136"/>
      <c r="I9" s="136"/>
      <c r="J9" s="3"/>
    </row>
    <row r="10" spans="1:10" s="2" customFormat="1" ht="26.65" thickBot="1" x14ac:dyDescent="0.45">
      <c r="A10" s="32" t="s">
        <v>208</v>
      </c>
      <c r="B10" s="32" t="s">
        <v>661</v>
      </c>
      <c r="C10" s="32" t="s">
        <v>605</v>
      </c>
      <c r="D10" s="33" t="s">
        <v>263</v>
      </c>
      <c r="E10" s="33" t="s">
        <v>662</v>
      </c>
      <c r="F10" s="34" t="s">
        <v>0</v>
      </c>
      <c r="G10" s="33" t="s">
        <v>663</v>
      </c>
      <c r="H10" s="34" t="s">
        <v>664</v>
      </c>
      <c r="I10" s="34" t="s">
        <v>3</v>
      </c>
      <c r="J10" s="33" t="s">
        <v>2</v>
      </c>
    </row>
    <row r="11" spans="1:10" s="2" customFormat="1" ht="25.9" thickBot="1" x14ac:dyDescent="0.45">
      <c r="A11" s="35">
        <f>HYPERLINK("https://bluetooth.atlassian.net/browse/ES-542",542)</f>
        <v>542</v>
      </c>
      <c r="B11" s="58" t="s">
        <v>626</v>
      </c>
      <c r="C11" s="125">
        <v>1</v>
      </c>
      <c r="D11" s="58" t="s">
        <v>536</v>
      </c>
      <c r="E11" s="116" t="s">
        <v>188</v>
      </c>
      <c r="F11" s="118" t="s">
        <v>1</v>
      </c>
      <c r="G11" s="36"/>
      <c r="H11" s="35"/>
      <c r="I11" s="36"/>
      <c r="J11" s="58"/>
    </row>
    <row r="12" spans="1:10" s="2" customFormat="1" ht="25.9" thickBot="1" x14ac:dyDescent="0.45">
      <c r="A12" s="37">
        <f>HYPERLINK("https://bluetooth.atlassian.net/browse/ES-544",544)</f>
        <v>544</v>
      </c>
      <c r="B12" s="47" t="s">
        <v>626</v>
      </c>
      <c r="C12" s="126">
        <v>1</v>
      </c>
      <c r="D12" s="47" t="s">
        <v>354</v>
      </c>
      <c r="E12" s="117" t="s">
        <v>188</v>
      </c>
      <c r="F12" s="112" t="s">
        <v>1</v>
      </c>
      <c r="G12" s="115"/>
      <c r="H12" s="46"/>
      <c r="I12" s="119"/>
      <c r="J12" s="38"/>
    </row>
    <row r="13" spans="1:10" s="2" customFormat="1" ht="25.9" thickBot="1" x14ac:dyDescent="0.45">
      <c r="A13" s="35">
        <f>HYPERLINK("https://bluetooth.atlassian.net/browse/ES-650",650)</f>
        <v>650</v>
      </c>
      <c r="B13" s="58" t="s">
        <v>626</v>
      </c>
      <c r="C13" s="125">
        <v>1</v>
      </c>
      <c r="D13" s="36" t="s">
        <v>355</v>
      </c>
      <c r="E13" s="116" t="s">
        <v>188</v>
      </c>
      <c r="F13" s="118" t="s">
        <v>1</v>
      </c>
      <c r="G13" s="36"/>
      <c r="H13" s="35"/>
      <c r="I13" s="36"/>
      <c r="J13" s="36"/>
    </row>
    <row r="14" spans="1:10" s="2" customFormat="1" ht="25.9" thickBot="1" x14ac:dyDescent="0.45">
      <c r="A14" s="37">
        <f>HYPERLINK("https://bluetooth.atlassian.net/browse/ES-674",674)</f>
        <v>674</v>
      </c>
      <c r="B14" s="47" t="s">
        <v>626</v>
      </c>
      <c r="C14" s="126">
        <v>1</v>
      </c>
      <c r="D14" s="38" t="s">
        <v>356</v>
      </c>
      <c r="E14" s="117" t="s">
        <v>188</v>
      </c>
      <c r="F14" s="112" t="s">
        <v>1</v>
      </c>
      <c r="G14" s="115"/>
      <c r="H14" s="46"/>
      <c r="I14" s="119"/>
      <c r="J14" s="38"/>
    </row>
    <row r="15" spans="1:10" s="2" customFormat="1" ht="25.9" thickBot="1" x14ac:dyDescent="0.45">
      <c r="A15" s="35">
        <f>HYPERLINK("https://bluetooth.atlassian.net/browse/ES-747",747)</f>
        <v>747</v>
      </c>
      <c r="B15" s="58" t="s">
        <v>626</v>
      </c>
      <c r="C15" s="125">
        <v>1</v>
      </c>
      <c r="D15" s="36" t="s">
        <v>357</v>
      </c>
      <c r="E15" s="116" t="s">
        <v>188</v>
      </c>
      <c r="F15" s="118" t="s">
        <v>1</v>
      </c>
      <c r="G15" s="36"/>
      <c r="H15" s="35"/>
      <c r="I15" s="36"/>
      <c r="J15" s="36"/>
    </row>
    <row r="16" spans="1:10" s="2" customFormat="1" ht="25.9" thickBot="1" x14ac:dyDescent="0.45">
      <c r="A16" s="37">
        <f>HYPERLINK("https://bluetooth.atlassian.net/browse/ES-1906",1906)</f>
        <v>1906</v>
      </c>
      <c r="B16" s="47" t="s">
        <v>626</v>
      </c>
      <c r="C16" s="126">
        <v>1</v>
      </c>
      <c r="D16" s="38" t="s">
        <v>358</v>
      </c>
      <c r="E16" s="117" t="s">
        <v>188</v>
      </c>
      <c r="F16" s="112" t="s">
        <v>1</v>
      </c>
      <c r="G16" s="115"/>
      <c r="H16" s="46"/>
      <c r="I16" s="119"/>
      <c r="J16" s="38"/>
    </row>
    <row r="17" spans="1:10" s="2" customFormat="1" ht="25.9" thickBot="1" x14ac:dyDescent="0.45">
      <c r="A17" s="35">
        <f>HYPERLINK("https://bluetooth.atlassian.net/browse/ES-4474",4474)</f>
        <v>4474</v>
      </c>
      <c r="B17" s="58" t="s">
        <v>626</v>
      </c>
      <c r="C17" s="125">
        <v>1</v>
      </c>
      <c r="D17" s="36" t="s">
        <v>359</v>
      </c>
      <c r="E17" s="116" t="s">
        <v>188</v>
      </c>
      <c r="F17" s="118" t="s">
        <v>1</v>
      </c>
      <c r="G17" s="36"/>
      <c r="H17" s="35"/>
      <c r="I17" s="36"/>
      <c r="J17" s="36"/>
    </row>
    <row r="18" spans="1:10" s="2" customFormat="1" ht="25.9" thickBot="1" x14ac:dyDescent="0.45">
      <c r="A18" s="37">
        <f>HYPERLINK("https://bluetooth.atlassian.net/browse/ES-5335",5335)</f>
        <v>5335</v>
      </c>
      <c r="B18" s="47" t="s">
        <v>626</v>
      </c>
      <c r="C18" s="126">
        <v>1</v>
      </c>
      <c r="D18" s="38" t="s">
        <v>360</v>
      </c>
      <c r="E18" s="117" t="s">
        <v>5</v>
      </c>
      <c r="F18" s="112" t="s">
        <v>1</v>
      </c>
      <c r="G18" s="115"/>
      <c r="H18" s="46"/>
      <c r="I18" s="119"/>
      <c r="J18" s="38"/>
    </row>
    <row r="19" spans="1:10" s="2" customFormat="1" ht="25.9" thickBot="1" x14ac:dyDescent="0.45">
      <c r="A19" s="35">
        <f>HYPERLINK("https://bluetooth.atlassian.net/browse/ES-5928",5928)</f>
        <v>5928</v>
      </c>
      <c r="B19" s="58" t="s">
        <v>626</v>
      </c>
      <c r="C19" s="36">
        <v>1.1000000000000001</v>
      </c>
      <c r="D19" s="36" t="s">
        <v>361</v>
      </c>
      <c r="E19" s="116" t="s">
        <v>5</v>
      </c>
      <c r="F19" s="118" t="s">
        <v>1</v>
      </c>
      <c r="G19" s="36"/>
      <c r="H19" s="35"/>
      <c r="I19" s="36"/>
      <c r="J19" s="36"/>
    </row>
    <row r="20" spans="1:10" s="2" customFormat="1" ht="27" customHeight="1" thickBot="1" x14ac:dyDescent="0.45">
      <c r="A20" s="37">
        <f>HYPERLINK("https://bluetooth.atlassian.net/browse/ES-6042",6042)</f>
        <v>6042</v>
      </c>
      <c r="B20" s="47" t="s">
        <v>626</v>
      </c>
      <c r="C20" s="38">
        <v>1.1000000000000001</v>
      </c>
      <c r="D20" s="38" t="s">
        <v>364</v>
      </c>
      <c r="E20" s="117" t="s">
        <v>188</v>
      </c>
      <c r="F20" s="112" t="s">
        <v>1</v>
      </c>
      <c r="G20" s="115"/>
      <c r="H20" s="46"/>
      <c r="I20" s="119"/>
      <c r="J20" s="38"/>
    </row>
    <row r="21" spans="1:10" ht="13.5" customHeight="1" thickBot="1" x14ac:dyDescent="0.4">
      <c r="A21" s="35">
        <f>HYPERLINK("https://bluetooth.atlassian.net/browse/ES-6090",6090)</f>
        <v>6090</v>
      </c>
      <c r="B21" s="58" t="s">
        <v>626</v>
      </c>
      <c r="C21" s="36">
        <v>1.1000000000000001</v>
      </c>
      <c r="D21" s="36" t="s">
        <v>362</v>
      </c>
      <c r="E21" s="116" t="s">
        <v>5</v>
      </c>
      <c r="F21" s="118" t="s">
        <v>1</v>
      </c>
      <c r="G21" s="36"/>
      <c r="H21" s="35"/>
      <c r="I21" s="36"/>
      <c r="J21" s="36"/>
    </row>
  </sheetData>
  <mergeCells count="9">
    <mergeCell ref="A2:I2"/>
    <mergeCell ref="A3:I3"/>
    <mergeCell ref="A8:B8"/>
    <mergeCell ref="D4:F4"/>
    <mergeCell ref="D5:F5"/>
    <mergeCell ref="D6:F6"/>
    <mergeCell ref="G4:I4"/>
    <mergeCell ref="G5:I5"/>
    <mergeCell ref="G6:I6"/>
  </mergeCells>
  <conditionalFormatting sqref="F11:F21">
    <cfRule type="cellIs" dxfId="9" priority="1" operator="greaterThan">
      <formula>"Yes"</formula>
    </cfRule>
  </conditionalFormatting>
  <dataValidations count="7">
    <dataValidation type="list" allowBlank="1" sqref="I10" xr:uid="{00000000-0002-0000-1100-000000000000}">
      <formula1>#REF!</formula1>
    </dataValidation>
    <dataValidation type="list" allowBlank="1" sqref="F10:H10" xr:uid="{77F4CA6F-CCE9-4879-B1F2-78FC51478FF4}">
      <formula1>#REF!</formula1>
    </dataValidation>
    <dataValidation type="list" allowBlank="1" showInputMessage="1" showErrorMessage="1" sqref="E11:E21" xr:uid="{90E8D5B9-A482-41FC-BD9B-01E28154DFFA}">
      <formula1>"Editorial,1/Technical Low,2/Technical Medium,3/Technical High,4/Technical Critical,Not Categorized"</formula1>
    </dataValidation>
    <dataValidation type="list" allowBlank="1" sqref="F11:F21" xr:uid="{4B60BEA8-0689-4C70-B88E-ACB4689C9E41}">
      <formula1>"No,Yes - doesn't need to wait for erratum,Yes - tied to spec change,Not Reviewed"</formula1>
    </dataValidation>
    <dataValidation allowBlank="1" sqref="H11:H21" xr:uid="{C798DE93-65A6-412F-BC90-B6B1B92C184B}"/>
    <dataValidation type="list" allowBlank="1" sqref="I11:I21" xr:uid="{E4AB2160-1031-4733-8FDC-F2C1AF007DEC}">
      <formula1>"Open,Approved,Rejected,Released"</formula1>
    </dataValidation>
    <dataValidation type="list" allowBlank="1" showInputMessage="1" showErrorMessage="1" sqref="G11:G21" xr:uid="{E2A0723A-C24B-40D8-BC93-437F7A856E50}">
      <formula1>"1,2,3,4,Not Categorized"</formula1>
    </dataValidation>
  </dataValidations>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J19"/>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8.73046875" customWidth="1"/>
  </cols>
  <sheetData>
    <row r="1" spans="1:10" ht="28.5" customHeight="1" thickBot="1" x14ac:dyDescent="0.65">
      <c r="A1" s="19" t="s">
        <v>366</v>
      </c>
      <c r="B1" s="25"/>
      <c r="C1" s="25"/>
      <c r="D1" s="3"/>
      <c r="E1" s="3"/>
      <c r="F1" s="28"/>
      <c r="G1" s="28"/>
      <c r="H1" s="28"/>
      <c r="I1" s="28"/>
      <c r="J1" s="29"/>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30.75" customHeight="1" thickBot="1" x14ac:dyDescent="0.5">
      <c r="A4" s="30" t="s">
        <v>8</v>
      </c>
      <c r="B4" s="31" t="s">
        <v>6</v>
      </c>
      <c r="C4" s="30" t="s">
        <v>541</v>
      </c>
      <c r="D4" s="175" t="s">
        <v>9</v>
      </c>
      <c r="E4" s="176"/>
      <c r="F4" s="177"/>
      <c r="G4" s="175" t="s">
        <v>550</v>
      </c>
      <c r="H4" s="176"/>
      <c r="I4" s="177"/>
      <c r="J4" s="29"/>
    </row>
    <row r="5" spans="1:10" s="5" customFormat="1" ht="65.25" customHeight="1" thickBot="1" x14ac:dyDescent="0.5">
      <c r="A5" s="24" t="s">
        <v>367</v>
      </c>
      <c r="B5" s="24">
        <v>39800</v>
      </c>
      <c r="C5" s="24" t="s">
        <v>15</v>
      </c>
      <c r="D5" s="181" t="s">
        <v>374</v>
      </c>
      <c r="E5" s="182"/>
      <c r="F5" s="183"/>
      <c r="G5" s="172" t="s">
        <v>368</v>
      </c>
      <c r="H5" s="173"/>
      <c r="I5" s="174"/>
      <c r="J5" s="29"/>
    </row>
    <row r="6" spans="1:10" s="5" customFormat="1" ht="14.25" x14ac:dyDescent="0.45">
      <c r="A6" s="29"/>
      <c r="B6" s="29"/>
      <c r="C6" s="29"/>
      <c r="D6" s="29"/>
      <c r="E6" s="29"/>
      <c r="F6" s="29"/>
      <c r="G6" s="29"/>
      <c r="H6" s="29"/>
      <c r="I6" s="29"/>
      <c r="J6" s="29"/>
    </row>
    <row r="7" spans="1:10" ht="21" customHeight="1" x14ac:dyDescent="0.4">
      <c r="A7" s="166" t="s">
        <v>7</v>
      </c>
      <c r="B7" s="166"/>
      <c r="C7" s="27"/>
      <c r="D7" s="3"/>
      <c r="E7" s="3"/>
      <c r="F7" s="28"/>
      <c r="G7" s="28"/>
      <c r="H7" s="28"/>
      <c r="I7" s="28"/>
      <c r="J7" s="3"/>
    </row>
    <row r="8" spans="1:10" ht="21" customHeight="1" x14ac:dyDescent="0.4">
      <c r="A8" s="132" t="s">
        <v>660</v>
      </c>
      <c r="B8" s="134"/>
      <c r="C8" s="134"/>
      <c r="D8" s="132"/>
      <c r="E8" s="135"/>
      <c r="F8" s="136"/>
      <c r="G8" s="136"/>
      <c r="H8" s="136"/>
      <c r="I8" s="136"/>
      <c r="J8" s="3"/>
    </row>
    <row r="9" spans="1:10" ht="21" customHeight="1" thickBot="1" x14ac:dyDescent="0.45">
      <c r="A9" s="132" t="s">
        <v>369</v>
      </c>
      <c r="B9" s="133"/>
      <c r="C9" s="134"/>
      <c r="D9" s="132"/>
      <c r="E9" s="135"/>
      <c r="F9" s="136"/>
      <c r="G9" s="136"/>
      <c r="H9" s="136"/>
      <c r="I9" s="136"/>
      <c r="J9" s="3"/>
    </row>
    <row r="10" spans="1:10" s="2" customFormat="1" ht="26.65" thickBot="1" x14ac:dyDescent="0.45">
      <c r="A10" s="32" t="s">
        <v>208</v>
      </c>
      <c r="B10" s="32" t="s">
        <v>661</v>
      </c>
      <c r="C10" s="32" t="s">
        <v>605</v>
      </c>
      <c r="D10" s="33" t="s">
        <v>263</v>
      </c>
      <c r="E10" s="33" t="s">
        <v>662</v>
      </c>
      <c r="F10" s="34" t="s">
        <v>0</v>
      </c>
      <c r="G10" s="33" t="s">
        <v>663</v>
      </c>
      <c r="H10" s="34" t="s">
        <v>664</v>
      </c>
      <c r="I10" s="34" t="s">
        <v>3</v>
      </c>
      <c r="J10" s="33" t="s">
        <v>2</v>
      </c>
    </row>
    <row r="11" spans="1:10" s="2" customFormat="1" ht="25.9" thickBot="1" x14ac:dyDescent="0.45">
      <c r="A11" s="36" t="s">
        <v>370</v>
      </c>
      <c r="B11" s="36" t="s">
        <v>627</v>
      </c>
      <c r="C11" s="36">
        <v>1.1000000000000001</v>
      </c>
      <c r="D11" s="36" t="s">
        <v>371</v>
      </c>
      <c r="E11" s="116" t="s">
        <v>188</v>
      </c>
      <c r="F11" s="118" t="s">
        <v>601</v>
      </c>
      <c r="G11" s="36" t="s">
        <v>188</v>
      </c>
      <c r="H11" s="59">
        <f>HYPERLINK("https://bluetooth.atlassian.net/browse/ES-1134",1134)</f>
        <v>1134</v>
      </c>
      <c r="I11" s="36" t="s">
        <v>42</v>
      </c>
      <c r="J11" s="55" t="s">
        <v>372</v>
      </c>
    </row>
    <row r="12" spans="1:10" s="2" customFormat="1" ht="78.2" customHeight="1" thickBot="1" x14ac:dyDescent="0.45">
      <c r="A12" s="76">
        <f>HYPERLINK("https://bluetooth.atlassian.net/browse/ES-116",116)</f>
        <v>116</v>
      </c>
      <c r="B12" s="38" t="s">
        <v>627</v>
      </c>
      <c r="C12" s="38">
        <v>1.1000000000000001</v>
      </c>
      <c r="D12" s="38" t="s">
        <v>373</v>
      </c>
      <c r="E12" s="117" t="s">
        <v>188</v>
      </c>
      <c r="F12" s="112" t="s">
        <v>1</v>
      </c>
      <c r="G12" s="115"/>
      <c r="H12" s="46"/>
      <c r="I12" s="119"/>
      <c r="J12" s="38" t="s">
        <v>375</v>
      </c>
    </row>
    <row r="13" spans="1:10" s="2" customFormat="1" ht="64.150000000000006" thickBot="1" x14ac:dyDescent="0.45">
      <c r="A13" s="35">
        <f>HYPERLINK("https://bluetooth.atlassian.net/browse/ES-140",140)</f>
        <v>140</v>
      </c>
      <c r="B13" s="36" t="s">
        <v>627</v>
      </c>
      <c r="C13" s="36">
        <v>1.1000000000000001</v>
      </c>
      <c r="D13" s="36" t="s">
        <v>376</v>
      </c>
      <c r="E13" s="116" t="s">
        <v>188</v>
      </c>
      <c r="F13" s="118" t="s">
        <v>1</v>
      </c>
      <c r="G13" s="36"/>
      <c r="H13" s="35"/>
      <c r="I13" s="36"/>
      <c r="J13" s="36" t="s">
        <v>377</v>
      </c>
    </row>
    <row r="14" spans="1:10" s="2" customFormat="1" ht="64.150000000000006" thickBot="1" x14ac:dyDescent="0.45">
      <c r="A14" s="76">
        <f>HYPERLINK("https://bluetooth.atlassian.net/browse/ES-215",215)</f>
        <v>215</v>
      </c>
      <c r="B14" s="38" t="s">
        <v>627</v>
      </c>
      <c r="C14" s="38">
        <v>1.1000000000000001</v>
      </c>
      <c r="D14" s="38" t="s">
        <v>378</v>
      </c>
      <c r="E14" s="117" t="s">
        <v>188</v>
      </c>
      <c r="F14" s="112" t="s">
        <v>1</v>
      </c>
      <c r="G14" s="115"/>
      <c r="H14" s="46"/>
      <c r="I14" s="119"/>
      <c r="J14" s="38" t="s">
        <v>377</v>
      </c>
    </row>
    <row r="15" spans="1:10" s="2" customFormat="1" ht="64.150000000000006" thickBot="1" x14ac:dyDescent="0.45">
      <c r="A15" s="35">
        <f>HYPERLINK("https://bluetooth.atlassian.net/browse/ES-221",221)</f>
        <v>221</v>
      </c>
      <c r="B15" s="36" t="s">
        <v>627</v>
      </c>
      <c r="C15" s="36">
        <v>1.1000000000000001</v>
      </c>
      <c r="D15" s="36" t="s">
        <v>379</v>
      </c>
      <c r="E15" s="116" t="s">
        <v>188</v>
      </c>
      <c r="F15" s="118" t="s">
        <v>1</v>
      </c>
      <c r="G15" s="36"/>
      <c r="H15" s="35"/>
      <c r="I15" s="36"/>
      <c r="J15" s="36" t="s">
        <v>377</v>
      </c>
    </row>
    <row r="16" spans="1:10" s="2" customFormat="1" ht="64.150000000000006" thickBot="1" x14ac:dyDescent="0.45">
      <c r="A16" s="76">
        <f>HYPERLINK("https://bluetooth.atlassian.net/browse/ES-350",350)</f>
        <v>350</v>
      </c>
      <c r="B16" s="38" t="s">
        <v>627</v>
      </c>
      <c r="C16" s="38">
        <v>1.1000000000000001</v>
      </c>
      <c r="D16" s="38" t="s">
        <v>380</v>
      </c>
      <c r="E16" s="117" t="s">
        <v>188</v>
      </c>
      <c r="F16" s="112" t="s">
        <v>1</v>
      </c>
      <c r="G16" s="115"/>
      <c r="H16" s="46"/>
      <c r="I16" s="119"/>
      <c r="J16" s="38" t="s">
        <v>377</v>
      </c>
    </row>
    <row r="17" spans="1:10" s="2" customFormat="1" ht="64.150000000000006" thickBot="1" x14ac:dyDescent="0.45">
      <c r="A17" s="35">
        <f>HYPERLINK("https://bluetooth.atlassian.net/browse/ES-351",351)</f>
        <v>351</v>
      </c>
      <c r="B17" s="36" t="s">
        <v>627</v>
      </c>
      <c r="C17" s="36">
        <v>1.1000000000000001</v>
      </c>
      <c r="D17" s="36" t="s">
        <v>381</v>
      </c>
      <c r="E17" s="116" t="s">
        <v>188</v>
      </c>
      <c r="F17" s="118" t="s">
        <v>1</v>
      </c>
      <c r="G17" s="36"/>
      <c r="H17" s="35"/>
      <c r="I17" s="36"/>
      <c r="J17" s="36" t="s">
        <v>377</v>
      </c>
    </row>
    <row r="18" spans="1:10" s="2" customFormat="1" ht="64.150000000000006" thickBot="1" x14ac:dyDescent="0.45">
      <c r="A18" s="76">
        <f>HYPERLINK("https://bluetooth.atlassian.net/browse/ES-368",368)</f>
        <v>368</v>
      </c>
      <c r="B18" s="38" t="s">
        <v>627</v>
      </c>
      <c r="C18" s="38">
        <v>1.1000000000000001</v>
      </c>
      <c r="D18" s="38" t="s">
        <v>382</v>
      </c>
      <c r="E18" s="117" t="s">
        <v>188</v>
      </c>
      <c r="F18" s="112" t="s">
        <v>1</v>
      </c>
      <c r="G18" s="115"/>
      <c r="H18" s="46"/>
      <c r="I18" s="119"/>
      <c r="J18" s="38" t="s">
        <v>377</v>
      </c>
    </row>
    <row r="19" spans="1:10" s="2" customFormat="1" ht="51.4" thickBot="1" x14ac:dyDescent="0.45">
      <c r="A19" s="35">
        <f>HYPERLINK("https://bluetooth.atlassian.net/browse/ES-446",446)</f>
        <v>446</v>
      </c>
      <c r="B19" s="36" t="s">
        <v>627</v>
      </c>
      <c r="C19" s="36">
        <v>1.1000000000000001</v>
      </c>
      <c r="D19" s="36" t="s">
        <v>383</v>
      </c>
      <c r="E19" s="116" t="s">
        <v>188</v>
      </c>
      <c r="F19" s="118" t="s">
        <v>1</v>
      </c>
      <c r="G19" s="36"/>
      <c r="H19" s="35"/>
      <c r="I19" s="36"/>
      <c r="J19" s="36" t="s">
        <v>586</v>
      </c>
    </row>
  </sheetData>
  <mergeCells count="7">
    <mergeCell ref="A2:I2"/>
    <mergeCell ref="A3:I3"/>
    <mergeCell ref="A7:B7"/>
    <mergeCell ref="D4:F4"/>
    <mergeCell ref="D5:F5"/>
    <mergeCell ref="G4:I4"/>
    <mergeCell ref="G5:I5"/>
  </mergeCells>
  <conditionalFormatting sqref="F11:F19">
    <cfRule type="cellIs" dxfId="8" priority="1" operator="greaterThan">
      <formula>"Yes"</formula>
    </cfRule>
  </conditionalFormatting>
  <dataValidations count="6">
    <dataValidation type="list" allowBlank="1" sqref="I10" xr:uid="{00000000-0002-0000-1200-000000000000}">
      <formula1>#REF!</formula1>
    </dataValidation>
    <dataValidation type="list" allowBlank="1" sqref="F10:H10" xr:uid="{DEC0CDDC-C0E5-4A6A-AA1E-4DCB01E6CAE9}">
      <formula1>#REF!</formula1>
    </dataValidation>
    <dataValidation type="list" allowBlank="1" showInputMessage="1" showErrorMessage="1" sqref="E11:E19" xr:uid="{C3CF43A4-7290-4DE3-9134-652373E9F078}">
      <formula1>"Editorial,1/Technical Low,2/Technical Medium,3/Technical High,4/Technical Critical,Not Categorized"</formula1>
    </dataValidation>
    <dataValidation type="list" allowBlank="1" sqref="F11:F19" xr:uid="{4CA0F536-1CCE-462B-9D63-5B58D7835AE4}">
      <formula1>"No,Yes - doesn't need to wait for erratum,Yes - tied to spec change,Not Reviewed"</formula1>
    </dataValidation>
    <dataValidation type="list" allowBlank="1" showInputMessage="1" showErrorMessage="1" sqref="G11:G19" xr:uid="{E16663A7-0EEB-41CD-B3D7-3EA7054F3987}">
      <formula1>"1,2,3,4,Not Categorized"</formula1>
    </dataValidation>
    <dataValidation type="list" allowBlank="1" sqref="I11:I19" xr:uid="{D06B9D9A-79FE-4CD9-85B6-7F7AF54FAC54}">
      <formula1>"Open,Approved,Rejected,Released"</formula1>
    </dataValidation>
  </dataValidation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J20"/>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7.1328125" customWidth="1"/>
  </cols>
  <sheetData>
    <row r="1" spans="1:10" ht="28.5" customHeight="1" thickBot="1" x14ac:dyDescent="0.65">
      <c r="A1" s="19" t="s">
        <v>88</v>
      </c>
      <c r="B1" s="25"/>
      <c r="C1" s="25"/>
      <c r="D1" s="3"/>
      <c r="E1" s="3"/>
      <c r="F1" s="28"/>
      <c r="G1" s="28"/>
      <c r="H1" s="28"/>
      <c r="I1" s="28"/>
      <c r="J1" s="3"/>
    </row>
    <row r="2" spans="1:10" ht="66.75" customHeight="1" thickBot="1" x14ac:dyDescent="0.4">
      <c r="A2" s="163" t="s">
        <v>539</v>
      </c>
      <c r="B2" s="164"/>
      <c r="C2" s="164"/>
      <c r="D2" s="164"/>
      <c r="E2" s="164"/>
      <c r="F2" s="164"/>
      <c r="G2" s="164"/>
      <c r="H2" s="164"/>
      <c r="I2" s="165"/>
      <c r="J2" s="65"/>
    </row>
    <row r="3" spans="1:10" ht="51.95" customHeight="1" thickBot="1" x14ac:dyDescent="0.4">
      <c r="A3" s="163" t="s">
        <v>540</v>
      </c>
      <c r="B3" s="164"/>
      <c r="C3" s="164"/>
      <c r="D3" s="164"/>
      <c r="E3" s="164"/>
      <c r="F3" s="164"/>
      <c r="G3" s="164"/>
      <c r="H3" s="164"/>
      <c r="I3" s="165"/>
      <c r="J3" s="65"/>
    </row>
    <row r="4" spans="1:10" s="5" customFormat="1" ht="27.75" customHeight="1" thickBot="1" x14ac:dyDescent="0.5">
      <c r="A4" s="30" t="s">
        <v>8</v>
      </c>
      <c r="B4" s="31" t="s">
        <v>6</v>
      </c>
      <c r="C4" s="30" t="s">
        <v>541</v>
      </c>
      <c r="D4" s="167" t="s">
        <v>9</v>
      </c>
      <c r="E4" s="168"/>
      <c r="F4" s="168"/>
      <c r="G4" s="175" t="s">
        <v>550</v>
      </c>
      <c r="H4" s="176"/>
      <c r="I4" s="177"/>
      <c r="J4" s="65"/>
    </row>
    <row r="5" spans="1:10" s="65" customFormat="1" ht="13.5" customHeight="1" thickBot="1" x14ac:dyDescent="0.4">
      <c r="A5" s="64" t="s">
        <v>94</v>
      </c>
      <c r="B5" s="64">
        <v>41569</v>
      </c>
      <c r="C5" s="91" t="s">
        <v>556</v>
      </c>
      <c r="D5" s="169" t="s">
        <v>97</v>
      </c>
      <c r="E5" s="170"/>
      <c r="F5" s="171"/>
      <c r="G5" s="172" t="s">
        <v>92</v>
      </c>
      <c r="H5" s="173"/>
      <c r="I5" s="174"/>
    </row>
    <row r="6" spans="1:10" s="65" customFormat="1" ht="13.5" customHeight="1" thickBot="1" x14ac:dyDescent="0.4">
      <c r="A6" s="64" t="s">
        <v>95</v>
      </c>
      <c r="B6" s="64">
        <v>42185</v>
      </c>
      <c r="C6" s="91" t="s">
        <v>556</v>
      </c>
      <c r="D6" s="172" t="s">
        <v>102</v>
      </c>
      <c r="E6" s="173"/>
      <c r="F6" s="174"/>
      <c r="G6" s="172" t="s">
        <v>92</v>
      </c>
      <c r="H6" s="173"/>
      <c r="I6" s="174"/>
    </row>
    <row r="7" spans="1:10" s="65" customFormat="1" ht="13.5" customHeight="1" thickBot="1" x14ac:dyDescent="0.4">
      <c r="A7" s="64" t="s">
        <v>96</v>
      </c>
      <c r="B7" s="64">
        <v>42353</v>
      </c>
      <c r="C7" s="64" t="s">
        <v>15</v>
      </c>
      <c r="D7" s="172" t="s">
        <v>98</v>
      </c>
      <c r="E7" s="173"/>
      <c r="F7" s="174"/>
      <c r="G7" s="169" t="s">
        <v>92</v>
      </c>
      <c r="H7" s="170"/>
      <c r="I7" s="171"/>
    </row>
    <row r="8" spans="1:10" s="5" customFormat="1" ht="14.25" x14ac:dyDescent="0.45">
      <c r="A8" s="29"/>
      <c r="B8" s="29"/>
      <c r="C8" s="29"/>
      <c r="D8" s="29"/>
      <c r="E8" s="29"/>
      <c r="F8" s="29"/>
      <c r="G8" s="29"/>
      <c r="H8" s="29"/>
      <c r="I8" s="29"/>
      <c r="J8" s="122"/>
    </row>
    <row r="9" spans="1:10" ht="21" customHeight="1" x14ac:dyDescent="0.4">
      <c r="A9" s="166" t="s">
        <v>7</v>
      </c>
      <c r="B9" s="166"/>
      <c r="C9" s="27"/>
      <c r="D9" s="3"/>
      <c r="E9" s="3"/>
      <c r="F9" s="28"/>
      <c r="G9" s="28"/>
      <c r="H9" s="28"/>
      <c r="I9" s="28"/>
      <c r="J9" s="3"/>
    </row>
    <row r="10" spans="1:10" ht="21" customHeight="1" thickBot="1" x14ac:dyDescent="0.45">
      <c r="A10" s="132" t="s">
        <v>660</v>
      </c>
      <c r="B10" s="23"/>
      <c r="C10" s="27"/>
      <c r="D10" s="25"/>
      <c r="E10" s="3"/>
      <c r="F10" s="28"/>
      <c r="G10" s="28"/>
      <c r="H10" s="28"/>
      <c r="I10" s="28"/>
      <c r="J10" s="3"/>
    </row>
    <row r="11" spans="1:10" s="2" customFormat="1" ht="26.65" thickBot="1" x14ac:dyDescent="0.45">
      <c r="A11" s="32" t="s">
        <v>208</v>
      </c>
      <c r="B11" s="32" t="s">
        <v>661</v>
      </c>
      <c r="C11" s="32" t="s">
        <v>605</v>
      </c>
      <c r="D11" s="33" t="s">
        <v>263</v>
      </c>
      <c r="E11" s="33" t="s">
        <v>662</v>
      </c>
      <c r="F11" s="34" t="s">
        <v>0</v>
      </c>
      <c r="G11" s="33" t="s">
        <v>663</v>
      </c>
      <c r="H11" s="34" t="s">
        <v>664</v>
      </c>
      <c r="I11" s="34" t="s">
        <v>3</v>
      </c>
      <c r="J11" s="33" t="s">
        <v>2</v>
      </c>
    </row>
    <row r="12" spans="1:10" s="2" customFormat="1" ht="25.9" thickBot="1" x14ac:dyDescent="0.45">
      <c r="A12" s="35">
        <f>HYPERLINK("https://bluetooth.atlassian.net/browse/ES-5256",5256)</f>
        <v>5256</v>
      </c>
      <c r="B12" s="36" t="s">
        <v>610</v>
      </c>
      <c r="C12" s="36" t="s">
        <v>609</v>
      </c>
      <c r="D12" s="36" t="s">
        <v>100</v>
      </c>
      <c r="E12" s="116" t="s">
        <v>188</v>
      </c>
      <c r="F12" s="118" t="s">
        <v>1</v>
      </c>
      <c r="G12" s="36"/>
      <c r="H12" s="35"/>
      <c r="I12" s="36"/>
      <c r="J12" s="36"/>
    </row>
    <row r="13" spans="1:10" s="2" customFormat="1" ht="25.9" thickBot="1" x14ac:dyDescent="0.45">
      <c r="A13" s="37">
        <f>HYPERLINK("https://bluetooth.atlassian.net/browse/ES-5133",5133)</f>
        <v>5133</v>
      </c>
      <c r="B13" s="38" t="s">
        <v>610</v>
      </c>
      <c r="C13" s="38" t="s">
        <v>609</v>
      </c>
      <c r="D13" s="38" t="s">
        <v>99</v>
      </c>
      <c r="E13" s="117" t="s">
        <v>188</v>
      </c>
      <c r="F13" s="112" t="s">
        <v>1</v>
      </c>
      <c r="G13" s="120"/>
      <c r="H13" s="39"/>
      <c r="I13" s="119"/>
      <c r="J13" s="38"/>
    </row>
    <row r="14" spans="1:10" s="2" customFormat="1" ht="25.9" thickBot="1" x14ac:dyDescent="0.45">
      <c r="A14" s="35">
        <f>HYPERLINK("https://bluetooth.atlassian.net/browse/ES-5255",5255)</f>
        <v>5255</v>
      </c>
      <c r="B14" s="36" t="s">
        <v>610</v>
      </c>
      <c r="C14" s="36" t="s">
        <v>609</v>
      </c>
      <c r="D14" s="36" t="s">
        <v>101</v>
      </c>
      <c r="E14" s="116" t="s">
        <v>5</v>
      </c>
      <c r="F14" s="118" t="s">
        <v>1</v>
      </c>
      <c r="G14" s="36"/>
      <c r="H14" s="36"/>
      <c r="I14" s="36"/>
      <c r="J14" s="36"/>
    </row>
    <row r="15" spans="1:10" s="2" customFormat="1" ht="25.9" thickBot="1" x14ac:dyDescent="0.45">
      <c r="A15" s="37">
        <f>HYPERLINK("https://bluetooth.atlassian.net/browse/ES-6327",6327)</f>
        <v>6327</v>
      </c>
      <c r="B15" s="38" t="s">
        <v>610</v>
      </c>
      <c r="C15" s="38" t="s">
        <v>609</v>
      </c>
      <c r="D15" s="38" t="s">
        <v>103</v>
      </c>
      <c r="E15" s="117" t="s">
        <v>5</v>
      </c>
      <c r="F15" s="112" t="s">
        <v>1</v>
      </c>
      <c r="G15" s="120"/>
      <c r="H15" s="38"/>
      <c r="I15" s="119"/>
      <c r="J15" s="38" t="s">
        <v>105</v>
      </c>
    </row>
    <row r="16" spans="1:10" s="2" customFormat="1" ht="25.9" thickBot="1" x14ac:dyDescent="0.45">
      <c r="A16" s="35">
        <f>HYPERLINK("https://bluetooth.atlassian.net/browse/ES-6328",6328)</f>
        <v>6328</v>
      </c>
      <c r="B16" s="36" t="s">
        <v>610</v>
      </c>
      <c r="C16" s="36" t="s">
        <v>609</v>
      </c>
      <c r="D16" s="36" t="s">
        <v>104</v>
      </c>
      <c r="E16" s="116" t="s">
        <v>188</v>
      </c>
      <c r="F16" s="118" t="s">
        <v>1</v>
      </c>
      <c r="G16" s="36"/>
      <c r="H16" s="35"/>
      <c r="I16" s="36"/>
      <c r="J16" s="36" t="s">
        <v>105</v>
      </c>
    </row>
    <row r="17" spans="1:10" s="2" customFormat="1" ht="25.9" thickBot="1" x14ac:dyDescent="0.45">
      <c r="A17" s="37">
        <f>HYPERLINK("https://bluetooth.atlassian.net/browse/ES-6329",6329)</f>
        <v>6329</v>
      </c>
      <c r="B17" s="38" t="s">
        <v>610</v>
      </c>
      <c r="C17" s="38" t="s">
        <v>609</v>
      </c>
      <c r="D17" s="38" t="s">
        <v>104</v>
      </c>
      <c r="E17" s="117" t="s">
        <v>5</v>
      </c>
      <c r="F17" s="112" t="s">
        <v>1</v>
      </c>
      <c r="G17" s="120"/>
      <c r="H17" s="38"/>
      <c r="I17" s="119"/>
      <c r="J17" s="38" t="s">
        <v>105</v>
      </c>
    </row>
    <row r="18" spans="1:10" s="2" customFormat="1" ht="25.9" thickBot="1" x14ac:dyDescent="0.45">
      <c r="A18" s="35">
        <f>HYPERLINK("https://bluetooth.atlassian.net/browse/ES-6330",6330)</f>
        <v>6330</v>
      </c>
      <c r="B18" s="36" t="s">
        <v>610</v>
      </c>
      <c r="C18" s="36" t="s">
        <v>609</v>
      </c>
      <c r="D18" s="36" t="s">
        <v>104</v>
      </c>
      <c r="E18" s="116" t="s">
        <v>188</v>
      </c>
      <c r="F18" s="118" t="s">
        <v>1</v>
      </c>
      <c r="G18" s="36"/>
      <c r="H18" s="36"/>
      <c r="I18" s="36"/>
      <c r="J18" s="36" t="s">
        <v>105</v>
      </c>
    </row>
    <row r="19" spans="1:10" ht="15.75" customHeight="1" x14ac:dyDescent="0.35">
      <c r="A19" s="20"/>
      <c r="B19" s="20"/>
      <c r="C19" s="20"/>
      <c r="D19" s="21"/>
      <c r="E19" s="21"/>
      <c r="F19" s="22"/>
      <c r="G19" s="22"/>
      <c r="H19" s="22"/>
      <c r="I19" s="22"/>
      <c r="J19" s="21"/>
    </row>
    <row r="20" spans="1:10" ht="15.75" customHeight="1" x14ac:dyDescent="0.35">
      <c r="A20" s="20"/>
      <c r="B20" s="20"/>
      <c r="C20" s="20"/>
      <c r="D20" s="21"/>
      <c r="E20" s="21"/>
      <c r="F20" s="22"/>
      <c r="G20" s="22"/>
      <c r="H20" s="22"/>
      <c r="I20" s="22"/>
      <c r="J20" s="21"/>
    </row>
  </sheetData>
  <mergeCells count="11">
    <mergeCell ref="A2:I2"/>
    <mergeCell ref="A3:I3"/>
    <mergeCell ref="A9:B9"/>
    <mergeCell ref="D4:F4"/>
    <mergeCell ref="D5:F5"/>
    <mergeCell ref="D6:F6"/>
    <mergeCell ref="D7:F7"/>
    <mergeCell ref="G4:I4"/>
    <mergeCell ref="G5:I5"/>
    <mergeCell ref="G6:I6"/>
    <mergeCell ref="G7:I7"/>
  </mergeCells>
  <conditionalFormatting sqref="F12:F18">
    <cfRule type="cellIs" dxfId="23" priority="1" operator="greaterThan">
      <formula>"Yes"</formula>
    </cfRule>
  </conditionalFormatting>
  <dataValidations count="7">
    <dataValidation type="list" allowBlank="1" sqref="I11" xr:uid="{00000000-0002-0000-0100-000000000000}">
      <formula1>#REF!</formula1>
    </dataValidation>
    <dataValidation type="list" allowBlank="1" sqref="F11:H11" xr:uid="{4B383911-DE81-4AA2-91F5-2884EC89FAEA}">
      <formula1>#REF!</formula1>
    </dataValidation>
    <dataValidation type="list" allowBlank="1" showInputMessage="1" showErrorMessage="1" sqref="E12:E18" xr:uid="{3863849F-BB59-4FAA-8111-683F22CCDC53}">
      <formula1>"Editorial,1/Technical Low,2/Technical Medium,3/Technical High,4/Technical Critical,Not Categorized"</formula1>
    </dataValidation>
    <dataValidation type="list" allowBlank="1" sqref="F12:F18" xr:uid="{A8B95280-6E4B-4ECC-B8A6-9181A2352122}">
      <formula1>"No,Yes - doesn't need to wait for erratum,Yes - tied to spec change,Not Reviewed"</formula1>
    </dataValidation>
    <dataValidation type="list" allowBlank="1" showInputMessage="1" showErrorMessage="1" sqref="G12:G18" xr:uid="{41247398-886D-4504-B8C4-902FF03E66F0}">
      <formula1>"1,2,3,4,Not Categorized"</formula1>
    </dataValidation>
    <dataValidation type="list" allowBlank="1" sqref="I12:I18" xr:uid="{A2DF2DFC-3E03-479D-B699-27FE4068DC71}">
      <formula1>"Open,Approved,Rejected,Released"</formula1>
    </dataValidation>
    <dataValidation allowBlank="1" sqref="H12:H18" xr:uid="{50FA4622-8881-4468-AF37-D048E80EC1D8}"/>
  </dataValidations>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B1A0C7"/>
    <outlinePr summaryBelow="0" summaryRight="0"/>
  </sheetPr>
  <dimension ref="A1:J74"/>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8.3984375" customWidth="1"/>
  </cols>
  <sheetData>
    <row r="1" spans="1:10" ht="28.5" customHeight="1" thickBot="1" x14ac:dyDescent="0.65">
      <c r="A1" s="19" t="s">
        <v>384</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209" t="s">
        <v>540</v>
      </c>
      <c r="B3" s="210"/>
      <c r="C3" s="210"/>
      <c r="D3" s="210"/>
      <c r="E3" s="210"/>
      <c r="F3" s="210"/>
      <c r="G3" s="210"/>
      <c r="H3" s="210"/>
      <c r="I3" s="211"/>
      <c r="J3" s="135"/>
    </row>
    <row r="4" spans="1:10" s="5" customFormat="1" ht="30.2" customHeight="1" thickBot="1" x14ac:dyDescent="0.5">
      <c r="A4" s="144" t="s">
        <v>8</v>
      </c>
      <c r="B4" s="145" t="s">
        <v>6</v>
      </c>
      <c r="C4" s="144" t="s">
        <v>541</v>
      </c>
      <c r="D4" s="212" t="s">
        <v>9</v>
      </c>
      <c r="E4" s="213"/>
      <c r="F4" s="214"/>
      <c r="G4" s="212" t="s">
        <v>550</v>
      </c>
      <c r="H4" s="213"/>
      <c r="I4" s="214"/>
      <c r="J4" s="135"/>
    </row>
    <row r="5" spans="1:10" s="65" customFormat="1" ht="13.5" customHeight="1" thickBot="1" x14ac:dyDescent="0.4">
      <c r="A5" s="91" t="s">
        <v>385</v>
      </c>
      <c r="B5" s="91">
        <v>41457</v>
      </c>
      <c r="C5" s="96" t="s">
        <v>556</v>
      </c>
      <c r="D5" s="197" t="s">
        <v>394</v>
      </c>
      <c r="E5" s="198"/>
      <c r="F5" s="199"/>
      <c r="G5" s="215" t="s">
        <v>91</v>
      </c>
      <c r="H5" s="216"/>
      <c r="I5" s="217"/>
      <c r="J5" s="135"/>
    </row>
    <row r="6" spans="1:10" s="5" customFormat="1" ht="93.2" customHeight="1" thickBot="1" x14ac:dyDescent="0.5">
      <c r="A6" s="94" t="s">
        <v>386</v>
      </c>
      <c r="B6" s="94">
        <v>41457</v>
      </c>
      <c r="C6" s="96" t="s">
        <v>556</v>
      </c>
      <c r="D6" s="194" t="s">
        <v>395</v>
      </c>
      <c r="E6" s="195"/>
      <c r="F6" s="196"/>
      <c r="G6" s="184" t="s">
        <v>396</v>
      </c>
      <c r="H6" s="185"/>
      <c r="I6" s="186"/>
      <c r="J6" s="135"/>
    </row>
    <row r="7" spans="1:10" s="65" customFormat="1" ht="13.5" customHeight="1" thickBot="1" x14ac:dyDescent="0.4">
      <c r="A7" s="91" t="s">
        <v>387</v>
      </c>
      <c r="B7" s="91">
        <v>42185</v>
      </c>
      <c r="C7" s="96" t="s">
        <v>556</v>
      </c>
      <c r="D7" s="197" t="s">
        <v>447</v>
      </c>
      <c r="E7" s="198"/>
      <c r="F7" s="199"/>
      <c r="G7" s="197" t="s">
        <v>92</v>
      </c>
      <c r="H7" s="198"/>
      <c r="I7" s="199"/>
      <c r="J7" s="135"/>
    </row>
    <row r="8" spans="1:10" s="65" customFormat="1" ht="13.5" customHeight="1" thickBot="1" x14ac:dyDescent="0.4">
      <c r="A8" s="146" t="s">
        <v>388</v>
      </c>
      <c r="B8" s="91">
        <v>42353</v>
      </c>
      <c r="C8" s="96" t="s">
        <v>556</v>
      </c>
      <c r="D8" s="203" t="s">
        <v>397</v>
      </c>
      <c r="E8" s="204"/>
      <c r="F8" s="205"/>
      <c r="G8" s="203" t="s">
        <v>92</v>
      </c>
      <c r="H8" s="204"/>
      <c r="I8" s="205"/>
      <c r="J8" s="135"/>
    </row>
    <row r="9" spans="1:10" s="5" customFormat="1" ht="204.75" customHeight="1" thickBot="1" x14ac:dyDescent="0.5">
      <c r="A9" s="95" t="s">
        <v>389</v>
      </c>
      <c r="B9" s="94">
        <v>42507</v>
      </c>
      <c r="C9" s="96" t="s">
        <v>556</v>
      </c>
      <c r="D9" s="194" t="s">
        <v>448</v>
      </c>
      <c r="E9" s="195"/>
      <c r="F9" s="196"/>
      <c r="G9" s="194" t="s">
        <v>399</v>
      </c>
      <c r="H9" s="195"/>
      <c r="I9" s="196"/>
      <c r="J9" s="135"/>
    </row>
    <row r="10" spans="1:10" s="65" customFormat="1" ht="13.5" customHeight="1" thickBot="1" x14ac:dyDescent="0.4">
      <c r="A10" s="146" t="s">
        <v>390</v>
      </c>
      <c r="B10" s="91">
        <v>43480</v>
      </c>
      <c r="C10" s="97" t="s">
        <v>15</v>
      </c>
      <c r="D10" s="203" t="s">
        <v>449</v>
      </c>
      <c r="E10" s="204"/>
      <c r="F10" s="205"/>
      <c r="G10" s="203" t="s">
        <v>92</v>
      </c>
      <c r="H10" s="204"/>
      <c r="I10" s="205"/>
      <c r="J10" s="135"/>
    </row>
    <row r="11" spans="1:10" s="65" customFormat="1" ht="13.5" customHeight="1" thickBot="1" x14ac:dyDescent="0.4">
      <c r="A11" s="149" t="s">
        <v>665</v>
      </c>
      <c r="B11" s="148">
        <v>45699</v>
      </c>
      <c r="C11" s="150" t="s">
        <v>15</v>
      </c>
      <c r="D11" s="200" t="s">
        <v>667</v>
      </c>
      <c r="E11" s="201"/>
      <c r="F11" s="202"/>
      <c r="G11" s="200" t="s">
        <v>92</v>
      </c>
      <c r="H11" s="201"/>
      <c r="I11" s="202"/>
      <c r="J11" s="135"/>
    </row>
    <row r="12" spans="1:10" s="5" customFormat="1" ht="63.75" customHeight="1" thickBot="1" x14ac:dyDescent="0.5">
      <c r="A12" s="95" t="s">
        <v>391</v>
      </c>
      <c r="B12" s="94">
        <v>42913</v>
      </c>
      <c r="C12" s="96" t="s">
        <v>556</v>
      </c>
      <c r="D12" s="194" t="s">
        <v>136</v>
      </c>
      <c r="E12" s="195"/>
      <c r="F12" s="196"/>
      <c r="G12" s="194" t="s">
        <v>398</v>
      </c>
      <c r="H12" s="195"/>
      <c r="I12" s="196"/>
      <c r="J12" s="135"/>
    </row>
    <row r="13" spans="1:10" s="65" customFormat="1" ht="13.5" customHeight="1" thickBot="1" x14ac:dyDescent="0.4">
      <c r="A13" s="146" t="s">
        <v>393</v>
      </c>
      <c r="B13" s="91">
        <v>43480</v>
      </c>
      <c r="C13" s="96" t="s">
        <v>556</v>
      </c>
      <c r="D13" s="197" t="s">
        <v>451</v>
      </c>
      <c r="E13" s="198"/>
      <c r="F13" s="199"/>
      <c r="G13" s="203" t="s">
        <v>92</v>
      </c>
      <c r="H13" s="204"/>
      <c r="I13" s="205"/>
      <c r="J13" s="135"/>
    </row>
    <row r="14" spans="1:10" s="65" customFormat="1" ht="13.5" customHeight="1" thickBot="1" x14ac:dyDescent="0.4">
      <c r="A14" s="146" t="s">
        <v>392</v>
      </c>
      <c r="B14" s="91">
        <v>43690</v>
      </c>
      <c r="C14" s="97" t="s">
        <v>15</v>
      </c>
      <c r="D14" s="203" t="s">
        <v>450</v>
      </c>
      <c r="E14" s="204"/>
      <c r="F14" s="205"/>
      <c r="G14" s="197" t="s">
        <v>92</v>
      </c>
      <c r="H14" s="198"/>
      <c r="I14" s="199"/>
      <c r="J14" s="135"/>
    </row>
    <row r="15" spans="1:10" s="65" customFormat="1" ht="13.5" customHeight="1" thickBot="1" x14ac:dyDescent="0.4">
      <c r="A15" s="149" t="s">
        <v>666</v>
      </c>
      <c r="B15" s="148">
        <v>45699</v>
      </c>
      <c r="C15" s="150" t="s">
        <v>15</v>
      </c>
      <c r="D15" s="200" t="s">
        <v>668</v>
      </c>
      <c r="E15" s="201"/>
      <c r="F15" s="202"/>
      <c r="G15" s="206" t="s">
        <v>92</v>
      </c>
      <c r="H15" s="207"/>
      <c r="I15" s="208"/>
      <c r="J15" s="135"/>
    </row>
    <row r="16" spans="1:10" s="5" customFormat="1" ht="14.25" x14ac:dyDescent="0.45">
      <c r="A16" s="137"/>
      <c r="B16" s="137"/>
      <c r="C16" s="137"/>
      <c r="D16" s="137"/>
      <c r="E16" s="137"/>
      <c r="F16" s="137"/>
      <c r="G16" s="137"/>
      <c r="H16" s="137"/>
      <c r="I16" s="137"/>
      <c r="J16" s="135"/>
    </row>
    <row r="17" spans="1:10" ht="21" customHeight="1" x14ac:dyDescent="0.4">
      <c r="A17" s="187" t="s">
        <v>7</v>
      </c>
      <c r="B17" s="187"/>
      <c r="C17" s="134"/>
      <c r="D17" s="135"/>
      <c r="E17" s="135"/>
      <c r="F17" s="136"/>
      <c r="G17" s="136"/>
      <c r="H17" s="136"/>
      <c r="I17" s="136"/>
      <c r="J17" s="135"/>
    </row>
    <row r="18" spans="1:10" ht="21" customHeight="1" thickBot="1" x14ac:dyDescent="0.45">
      <c r="A18" s="132" t="s">
        <v>660</v>
      </c>
      <c r="B18" s="133"/>
      <c r="C18" s="134"/>
      <c r="D18" s="132"/>
      <c r="E18" s="135"/>
      <c r="F18" s="136"/>
      <c r="G18" s="136"/>
      <c r="H18" s="136"/>
      <c r="I18" s="136"/>
      <c r="J18" s="135"/>
    </row>
    <row r="19" spans="1:10" s="2" customFormat="1" ht="26.65" thickBot="1" x14ac:dyDescent="0.45">
      <c r="A19" s="32" t="s">
        <v>208</v>
      </c>
      <c r="B19" s="32" t="s">
        <v>661</v>
      </c>
      <c r="C19" s="32" t="s">
        <v>605</v>
      </c>
      <c r="D19" s="33" t="s">
        <v>263</v>
      </c>
      <c r="E19" s="33" t="s">
        <v>662</v>
      </c>
      <c r="F19" s="34" t="s">
        <v>0</v>
      </c>
      <c r="G19" s="33" t="s">
        <v>663</v>
      </c>
      <c r="H19" s="34" t="s">
        <v>664</v>
      </c>
      <c r="I19" s="34" t="s">
        <v>3</v>
      </c>
      <c r="J19" s="33" t="s">
        <v>2</v>
      </c>
    </row>
    <row r="20" spans="1:10" s="2" customFormat="1" ht="25.9" thickBot="1" x14ac:dyDescent="0.45">
      <c r="A20" s="35">
        <f>HYPERLINK("https://bluetooth.atlassian.net/browse/ES-3123",3123)</f>
        <v>3123</v>
      </c>
      <c r="B20" s="36" t="s">
        <v>629</v>
      </c>
      <c r="C20" s="123">
        <v>1</v>
      </c>
      <c r="D20" s="57" t="s">
        <v>400</v>
      </c>
      <c r="E20" s="116" t="s">
        <v>188</v>
      </c>
      <c r="F20" s="118" t="s">
        <v>1</v>
      </c>
      <c r="G20" s="36"/>
      <c r="H20" s="36"/>
      <c r="I20" s="36"/>
      <c r="J20" s="36"/>
    </row>
    <row r="21" spans="1:10" s="2" customFormat="1" ht="38.65" thickBot="1" x14ac:dyDescent="0.45">
      <c r="A21" s="45">
        <f>HYPERLINK("https://bluetooth.atlassian.net/browse/ES-3124",3124)</f>
        <v>3124</v>
      </c>
      <c r="B21" s="47" t="s">
        <v>629</v>
      </c>
      <c r="C21" s="126">
        <v>1</v>
      </c>
      <c r="D21" s="47" t="s">
        <v>401</v>
      </c>
      <c r="E21" s="117" t="s">
        <v>188</v>
      </c>
      <c r="F21" s="112" t="s">
        <v>1</v>
      </c>
      <c r="G21" s="115"/>
      <c r="H21" s="47"/>
      <c r="I21" s="119"/>
      <c r="J21" s="47"/>
    </row>
    <row r="22" spans="1:10" s="2" customFormat="1" ht="27" customHeight="1" thickBot="1" x14ac:dyDescent="0.45">
      <c r="A22" s="35">
        <f>HYPERLINK("https://bluetooth.atlassian.net/browse/ES-3180",3180)</f>
        <v>3180</v>
      </c>
      <c r="B22" s="36" t="s">
        <v>629</v>
      </c>
      <c r="C22" s="123">
        <v>1</v>
      </c>
      <c r="D22" s="36" t="s">
        <v>404</v>
      </c>
      <c r="E22" s="116" t="s">
        <v>188</v>
      </c>
      <c r="F22" s="118" t="s">
        <v>1</v>
      </c>
      <c r="G22" s="36"/>
      <c r="H22" s="36"/>
      <c r="I22" s="36"/>
      <c r="J22" s="36" t="s">
        <v>402</v>
      </c>
    </row>
    <row r="23" spans="1:10" s="2" customFormat="1" ht="25.9" thickBot="1" x14ac:dyDescent="0.45">
      <c r="A23" s="45">
        <f>HYPERLINK("https://bluetooth.atlassian.net/browse/ES-3197",3197)</f>
        <v>3197</v>
      </c>
      <c r="B23" s="47" t="s">
        <v>629</v>
      </c>
      <c r="C23" s="126">
        <v>1</v>
      </c>
      <c r="D23" s="47" t="s">
        <v>405</v>
      </c>
      <c r="E23" s="117" t="s">
        <v>188</v>
      </c>
      <c r="F23" s="112" t="s">
        <v>1</v>
      </c>
      <c r="G23" s="115"/>
      <c r="H23" s="47"/>
      <c r="I23" s="119"/>
      <c r="J23" s="47" t="s">
        <v>403</v>
      </c>
    </row>
    <row r="24" spans="1:10" s="2" customFormat="1" ht="25.9" thickBot="1" x14ac:dyDescent="0.45">
      <c r="A24" s="35">
        <f>HYPERLINK("https://bluetooth.atlassian.net/browse/ES-3219",3219)</f>
        <v>3219</v>
      </c>
      <c r="B24" s="36" t="s">
        <v>629</v>
      </c>
      <c r="C24" s="123">
        <v>1</v>
      </c>
      <c r="D24" s="36" t="s">
        <v>406</v>
      </c>
      <c r="E24" s="116" t="s">
        <v>188</v>
      </c>
      <c r="F24" s="118" t="s">
        <v>1</v>
      </c>
      <c r="G24" s="36"/>
      <c r="H24" s="35"/>
      <c r="I24" s="36"/>
      <c r="J24" s="36"/>
    </row>
    <row r="25" spans="1:10" s="2" customFormat="1" ht="25.9" thickBot="1" x14ac:dyDescent="0.45">
      <c r="A25" s="45">
        <f>HYPERLINK("https://bluetooth.atlassian.net/browse/ES-3309",3309)</f>
        <v>3309</v>
      </c>
      <c r="B25" s="47" t="s">
        <v>629</v>
      </c>
      <c r="C25" s="126">
        <v>1</v>
      </c>
      <c r="D25" s="47" t="s">
        <v>407</v>
      </c>
      <c r="E25" s="117" t="s">
        <v>5</v>
      </c>
      <c r="F25" s="112" t="s">
        <v>1</v>
      </c>
      <c r="G25" s="115"/>
      <c r="H25" s="47"/>
      <c r="I25" s="119"/>
      <c r="J25" s="47"/>
    </row>
    <row r="26" spans="1:10" s="2" customFormat="1" ht="25.9" thickBot="1" x14ac:dyDescent="0.45">
      <c r="A26" s="35">
        <f>HYPERLINK("https://bluetooth.atlassian.net/browse/ES-3385",3385)</f>
        <v>3385</v>
      </c>
      <c r="B26" s="36" t="s">
        <v>629</v>
      </c>
      <c r="C26" s="123">
        <v>1</v>
      </c>
      <c r="D26" s="36" t="s">
        <v>408</v>
      </c>
      <c r="E26" s="116" t="s">
        <v>188</v>
      </c>
      <c r="F26" s="118" t="s">
        <v>1</v>
      </c>
      <c r="G26" s="36"/>
      <c r="H26" s="36"/>
      <c r="I26" s="36"/>
      <c r="J26" s="36"/>
    </row>
    <row r="27" spans="1:10" s="2" customFormat="1" ht="27" customHeight="1" thickBot="1" x14ac:dyDescent="0.45">
      <c r="A27" s="45">
        <f>HYPERLINK("https://bluetooth.atlassian.net/browse/ES-3440",3440)</f>
        <v>3440</v>
      </c>
      <c r="B27" s="47" t="s">
        <v>629</v>
      </c>
      <c r="C27" s="126">
        <v>1</v>
      </c>
      <c r="D27" s="47" t="s">
        <v>409</v>
      </c>
      <c r="E27" s="117" t="s">
        <v>188</v>
      </c>
      <c r="F27" s="112" t="s">
        <v>1</v>
      </c>
      <c r="G27" s="115"/>
      <c r="H27" s="47"/>
      <c r="I27" s="119"/>
      <c r="J27" s="47"/>
    </row>
    <row r="28" spans="1:10" s="2" customFormat="1" ht="25.9" thickBot="1" x14ac:dyDescent="0.45">
      <c r="A28" s="35">
        <f>HYPERLINK("https://bluetooth.atlassian.net/browse/ES-3441",3441)</f>
        <v>3441</v>
      </c>
      <c r="B28" s="36" t="s">
        <v>629</v>
      </c>
      <c r="C28" s="123">
        <v>1</v>
      </c>
      <c r="D28" s="36" t="s">
        <v>410</v>
      </c>
      <c r="E28" s="116" t="s">
        <v>188</v>
      </c>
      <c r="F28" s="118" t="s">
        <v>1</v>
      </c>
      <c r="G28" s="36"/>
      <c r="H28" s="36"/>
      <c r="I28" s="36"/>
      <c r="J28" s="36"/>
    </row>
    <row r="29" spans="1:10" s="2" customFormat="1" ht="27" customHeight="1" thickBot="1" x14ac:dyDescent="0.45">
      <c r="A29" s="45">
        <f>HYPERLINK("https://bluetooth.atlassian.net/browse/ES-3442",3442)</f>
        <v>3442</v>
      </c>
      <c r="B29" s="47" t="s">
        <v>629</v>
      </c>
      <c r="C29" s="126">
        <v>1</v>
      </c>
      <c r="D29" s="47" t="s">
        <v>412</v>
      </c>
      <c r="E29" s="117" t="s">
        <v>188</v>
      </c>
      <c r="F29" s="112" t="s">
        <v>1</v>
      </c>
      <c r="G29" s="115"/>
      <c r="H29" s="47"/>
      <c r="I29" s="119"/>
      <c r="J29" s="47" t="s">
        <v>402</v>
      </c>
    </row>
    <row r="30" spans="1:10" s="2" customFormat="1" ht="25.9" thickBot="1" x14ac:dyDescent="0.45">
      <c r="A30" s="35">
        <f>HYPERLINK("https://bluetooth.atlassian.net/browse/ES-3443",3443)</f>
        <v>3443</v>
      </c>
      <c r="B30" s="36" t="s">
        <v>629</v>
      </c>
      <c r="C30" s="123">
        <v>1</v>
      </c>
      <c r="D30" s="36" t="s">
        <v>411</v>
      </c>
      <c r="E30" s="116" t="s">
        <v>188</v>
      </c>
      <c r="F30" s="118" t="s">
        <v>1</v>
      </c>
      <c r="G30" s="36"/>
      <c r="H30" s="36"/>
      <c r="I30" s="36"/>
      <c r="J30" s="36" t="s">
        <v>403</v>
      </c>
    </row>
    <row r="31" spans="1:10" s="2" customFormat="1" ht="25.9" thickBot="1" x14ac:dyDescent="0.45">
      <c r="A31" s="45">
        <f>HYPERLINK("https://bluetooth.atlassian.net/browse/ES-3445",3445)</f>
        <v>3445</v>
      </c>
      <c r="B31" s="47" t="s">
        <v>629</v>
      </c>
      <c r="C31" s="126">
        <v>1</v>
      </c>
      <c r="D31" s="47" t="s">
        <v>413</v>
      </c>
      <c r="E31" s="117" t="s">
        <v>188</v>
      </c>
      <c r="F31" s="112" t="s">
        <v>1</v>
      </c>
      <c r="G31" s="115"/>
      <c r="H31" s="47"/>
      <c r="I31" s="119"/>
      <c r="J31" s="47"/>
    </row>
    <row r="32" spans="1:10" s="2" customFormat="1" ht="25.9" thickBot="1" x14ac:dyDescent="0.45">
      <c r="A32" s="35">
        <f>HYPERLINK("https://bluetooth.atlassian.net/browse/ES-3458",3458)</f>
        <v>3458</v>
      </c>
      <c r="B32" s="36" t="s">
        <v>629</v>
      </c>
      <c r="C32" s="123">
        <v>1</v>
      </c>
      <c r="D32" s="36" t="s">
        <v>414</v>
      </c>
      <c r="E32" s="116" t="s">
        <v>188</v>
      </c>
      <c r="F32" s="118" t="s">
        <v>1</v>
      </c>
      <c r="G32" s="36"/>
      <c r="H32" s="35"/>
      <c r="I32" s="36"/>
      <c r="J32" s="36"/>
    </row>
    <row r="33" spans="1:10" s="2" customFormat="1" ht="25.9" thickBot="1" x14ac:dyDescent="0.45">
      <c r="A33" s="45">
        <f>HYPERLINK("https://bluetooth.atlassian.net/browse/ES-3464",3464)</f>
        <v>3464</v>
      </c>
      <c r="B33" s="47" t="s">
        <v>629</v>
      </c>
      <c r="C33" s="126">
        <v>1</v>
      </c>
      <c r="D33" s="47" t="s">
        <v>415</v>
      </c>
      <c r="E33" s="117" t="s">
        <v>188</v>
      </c>
      <c r="F33" s="112" t="s">
        <v>601</v>
      </c>
      <c r="G33" s="115" t="s">
        <v>188</v>
      </c>
      <c r="H33" s="45">
        <f>HYPERLINK("https://bluetooth.atlassian.net/browse/ES-5055",5055)</f>
        <v>5055</v>
      </c>
      <c r="I33" s="119" t="s">
        <v>42</v>
      </c>
      <c r="J33" s="47" t="s">
        <v>416</v>
      </c>
    </row>
    <row r="34" spans="1:10" s="2" customFormat="1" ht="25.9" thickBot="1" x14ac:dyDescent="0.45">
      <c r="A34" s="35">
        <f>HYPERLINK("https://bluetooth.atlassian.net/browse/ES-3530",3530)</f>
        <v>3530</v>
      </c>
      <c r="B34" s="36" t="s">
        <v>629</v>
      </c>
      <c r="C34" s="123">
        <v>1</v>
      </c>
      <c r="D34" s="36" t="s">
        <v>417</v>
      </c>
      <c r="E34" s="116" t="s">
        <v>188</v>
      </c>
      <c r="F34" s="118" t="s">
        <v>1</v>
      </c>
      <c r="G34" s="36"/>
      <c r="H34" s="35"/>
      <c r="I34" s="36"/>
      <c r="J34" s="36"/>
    </row>
    <row r="35" spans="1:10" s="2" customFormat="1" ht="25.9" thickBot="1" x14ac:dyDescent="0.45">
      <c r="A35" s="45">
        <f>HYPERLINK("https://bluetooth.atlassian.net/browse/ES-3546",3546)</f>
        <v>3546</v>
      </c>
      <c r="B35" s="47" t="s">
        <v>629</v>
      </c>
      <c r="C35" s="126">
        <v>1</v>
      </c>
      <c r="D35" s="47" t="s">
        <v>418</v>
      </c>
      <c r="E35" s="117" t="s">
        <v>5</v>
      </c>
      <c r="F35" s="112" t="s">
        <v>1</v>
      </c>
      <c r="G35" s="115"/>
      <c r="H35" s="47"/>
      <c r="I35" s="119"/>
      <c r="J35" s="47"/>
    </row>
    <row r="36" spans="1:10" s="2" customFormat="1" ht="25.9" thickBot="1" x14ac:dyDescent="0.45">
      <c r="A36" s="35">
        <f>HYPERLINK("https://bluetooth.atlassian.net/browse/ES-3603",3603)</f>
        <v>3603</v>
      </c>
      <c r="B36" s="36" t="s">
        <v>629</v>
      </c>
      <c r="C36" s="123">
        <v>1</v>
      </c>
      <c r="D36" s="36" t="s">
        <v>419</v>
      </c>
      <c r="E36" s="116" t="s">
        <v>5</v>
      </c>
      <c r="F36" s="118" t="s">
        <v>1</v>
      </c>
      <c r="G36" s="36"/>
      <c r="H36" s="36"/>
      <c r="I36" s="36"/>
      <c r="J36" s="36"/>
    </row>
    <row r="37" spans="1:10" s="2" customFormat="1" ht="27" customHeight="1" thickBot="1" x14ac:dyDescent="0.45">
      <c r="A37" s="45">
        <f>HYPERLINK("https://bluetooth.atlassian.net/browse/ES-3765",3765)</f>
        <v>3765</v>
      </c>
      <c r="B37" s="47" t="s">
        <v>629</v>
      </c>
      <c r="C37" s="126">
        <v>1</v>
      </c>
      <c r="D37" s="47" t="s">
        <v>420</v>
      </c>
      <c r="E37" s="117" t="s">
        <v>188</v>
      </c>
      <c r="F37" s="112" t="s">
        <v>1</v>
      </c>
      <c r="G37" s="115"/>
      <c r="H37" s="47"/>
      <c r="I37" s="119"/>
      <c r="J37" s="47" t="s">
        <v>402</v>
      </c>
    </row>
    <row r="38" spans="1:10" s="2" customFormat="1" ht="25.9" thickBot="1" x14ac:dyDescent="0.45">
      <c r="A38" s="35">
        <f>HYPERLINK("https://bluetooth.atlassian.net/browse/ES-3952",3952)</f>
        <v>3952</v>
      </c>
      <c r="B38" s="36" t="s">
        <v>629</v>
      </c>
      <c r="C38" s="123">
        <v>1</v>
      </c>
      <c r="D38" s="36" t="s">
        <v>421</v>
      </c>
      <c r="E38" s="116" t="s">
        <v>188</v>
      </c>
      <c r="F38" s="118" t="s">
        <v>1</v>
      </c>
      <c r="G38" s="36"/>
      <c r="H38" s="35"/>
      <c r="I38" s="36"/>
      <c r="J38" s="36"/>
    </row>
    <row r="39" spans="1:10" s="2" customFormat="1" ht="25.9" thickBot="1" x14ac:dyDescent="0.45">
      <c r="A39" s="45">
        <f>HYPERLINK("https://bluetooth.atlassian.net/browse/ES-4103",4103)</f>
        <v>4103</v>
      </c>
      <c r="B39" s="47" t="s">
        <v>629</v>
      </c>
      <c r="C39" s="126">
        <v>1</v>
      </c>
      <c r="D39" s="47" t="s">
        <v>422</v>
      </c>
      <c r="E39" s="117" t="s">
        <v>188</v>
      </c>
      <c r="F39" s="112" t="s">
        <v>1</v>
      </c>
      <c r="G39" s="115"/>
      <c r="H39" s="45"/>
      <c r="I39" s="119"/>
      <c r="J39" s="47"/>
    </row>
    <row r="40" spans="1:10" s="2" customFormat="1" ht="25.9" thickBot="1" x14ac:dyDescent="0.45">
      <c r="A40" s="35">
        <f>HYPERLINK("https://bluetooth.atlassian.net/browse/ES-4144",4144)</f>
        <v>4144</v>
      </c>
      <c r="B40" s="36" t="s">
        <v>629</v>
      </c>
      <c r="C40" s="123">
        <v>1</v>
      </c>
      <c r="D40" s="36" t="s">
        <v>423</v>
      </c>
      <c r="E40" s="116" t="s">
        <v>188</v>
      </c>
      <c r="F40" s="118" t="s">
        <v>1</v>
      </c>
      <c r="G40" s="36"/>
      <c r="H40" s="35"/>
      <c r="I40" s="36"/>
      <c r="J40" s="36"/>
    </row>
    <row r="41" spans="1:10" s="2" customFormat="1" ht="27" customHeight="1" thickBot="1" x14ac:dyDescent="0.45">
      <c r="A41" s="45">
        <f>HYPERLINK("https://bluetooth.atlassian.net/browse/ES-4226",4226)</f>
        <v>4226</v>
      </c>
      <c r="B41" s="47" t="s">
        <v>629</v>
      </c>
      <c r="C41" s="126">
        <v>1</v>
      </c>
      <c r="D41" s="47" t="s">
        <v>424</v>
      </c>
      <c r="E41" s="117" t="s">
        <v>188</v>
      </c>
      <c r="F41" s="112" t="s">
        <v>1</v>
      </c>
      <c r="G41" s="115"/>
      <c r="H41" s="45"/>
      <c r="I41" s="119"/>
      <c r="J41" s="47" t="s">
        <v>402</v>
      </c>
    </row>
    <row r="42" spans="1:10" s="2" customFormat="1" ht="25.9" thickBot="1" x14ac:dyDescent="0.45">
      <c r="A42" s="35">
        <f>HYPERLINK("https://bluetooth.atlassian.net/browse/ES-4302",4302)</f>
        <v>4302</v>
      </c>
      <c r="B42" s="36" t="s">
        <v>629</v>
      </c>
      <c r="C42" s="123">
        <v>1</v>
      </c>
      <c r="D42" s="36" t="s">
        <v>425</v>
      </c>
      <c r="E42" s="116" t="s">
        <v>188</v>
      </c>
      <c r="F42" s="118" t="s">
        <v>1</v>
      </c>
      <c r="G42" s="36"/>
      <c r="H42" s="35"/>
      <c r="I42" s="36"/>
      <c r="J42" s="36"/>
    </row>
    <row r="43" spans="1:10" s="2" customFormat="1" ht="25.9" thickBot="1" x14ac:dyDescent="0.45">
      <c r="A43" s="45">
        <f>HYPERLINK("https://bluetooth.atlassian.net/browse/ES-4335",4335)</f>
        <v>4335</v>
      </c>
      <c r="B43" s="47" t="s">
        <v>629</v>
      </c>
      <c r="C43" s="126">
        <v>1</v>
      </c>
      <c r="D43" s="47" t="s">
        <v>426</v>
      </c>
      <c r="E43" s="117" t="s">
        <v>188</v>
      </c>
      <c r="F43" s="112" t="s">
        <v>1</v>
      </c>
      <c r="G43" s="115"/>
      <c r="H43" s="47"/>
      <c r="I43" s="119"/>
      <c r="J43" s="47"/>
    </row>
    <row r="44" spans="1:10" s="2" customFormat="1" ht="13.5" customHeight="1" thickBot="1" x14ac:dyDescent="0.45">
      <c r="A44" s="35">
        <f>HYPERLINK("https://bluetooth.atlassian.net/browse/ES-4461",4461)</f>
        <v>4461</v>
      </c>
      <c r="B44" s="36" t="s">
        <v>629</v>
      </c>
      <c r="C44" s="123">
        <v>1</v>
      </c>
      <c r="D44" s="36" t="s">
        <v>427</v>
      </c>
      <c r="E44" s="116" t="s">
        <v>188</v>
      </c>
      <c r="F44" s="118" t="s">
        <v>1</v>
      </c>
      <c r="G44" s="36"/>
      <c r="H44" s="35"/>
      <c r="I44" s="36"/>
      <c r="J44" s="36"/>
    </row>
    <row r="45" spans="1:10" s="3" customFormat="1" ht="27" customHeight="1" thickBot="1" x14ac:dyDescent="0.4">
      <c r="A45" s="48">
        <f>HYPERLINK("https://bluetooth.atlassian.net/browse/ES-4462",4462)</f>
        <v>4462</v>
      </c>
      <c r="B45" s="47" t="s">
        <v>629</v>
      </c>
      <c r="C45" s="126">
        <v>1</v>
      </c>
      <c r="D45" s="38" t="s">
        <v>428</v>
      </c>
      <c r="E45" s="117" t="s">
        <v>188</v>
      </c>
      <c r="F45" s="112" t="s">
        <v>1</v>
      </c>
      <c r="G45" s="115"/>
      <c r="H45" s="38"/>
      <c r="I45" s="119"/>
      <c r="J45" s="47" t="s">
        <v>402</v>
      </c>
    </row>
    <row r="46" spans="1:10" s="3" customFormat="1" ht="25.9" thickBot="1" x14ac:dyDescent="0.4">
      <c r="A46" s="49">
        <f>HYPERLINK("https://bluetooth.atlassian.net/browse/ES-4532",4532)</f>
        <v>4532</v>
      </c>
      <c r="B46" s="36" t="s">
        <v>629</v>
      </c>
      <c r="C46" s="123">
        <v>1</v>
      </c>
      <c r="D46" s="36" t="s">
        <v>429</v>
      </c>
      <c r="E46" s="116" t="s">
        <v>188</v>
      </c>
      <c r="F46" s="118" t="s">
        <v>1</v>
      </c>
      <c r="G46" s="36"/>
      <c r="H46" s="35"/>
      <c r="I46" s="36"/>
      <c r="J46" s="36"/>
    </row>
    <row r="47" spans="1:10" s="3" customFormat="1" ht="25.9" thickBot="1" x14ac:dyDescent="0.4">
      <c r="A47" s="48">
        <f>HYPERLINK("https://bluetooth.atlassian.net/browse/ES-4578",4578)</f>
        <v>4578</v>
      </c>
      <c r="B47" s="47" t="s">
        <v>629</v>
      </c>
      <c r="C47" s="126">
        <v>1</v>
      </c>
      <c r="D47" s="38" t="s">
        <v>430</v>
      </c>
      <c r="E47" s="117" t="s">
        <v>188</v>
      </c>
      <c r="F47" s="112" t="s">
        <v>1</v>
      </c>
      <c r="G47" s="115"/>
      <c r="H47" s="38"/>
      <c r="I47" s="119"/>
      <c r="J47" s="47"/>
    </row>
    <row r="48" spans="1:10" s="3" customFormat="1" ht="38.65" thickBot="1" x14ac:dyDescent="0.4">
      <c r="A48" s="60">
        <f>HYPERLINK("https://bluetooth.atlassian.net/browse/ES-5151",5151)</f>
        <v>5151</v>
      </c>
      <c r="B48" s="36" t="s">
        <v>629</v>
      </c>
      <c r="C48" s="123">
        <v>1</v>
      </c>
      <c r="D48" s="58" t="s">
        <v>432</v>
      </c>
      <c r="E48" s="116" t="s">
        <v>188</v>
      </c>
      <c r="F48" s="118" t="s">
        <v>1</v>
      </c>
      <c r="G48" s="36"/>
      <c r="H48" s="58"/>
      <c r="I48" s="36"/>
      <c r="J48" s="58" t="s">
        <v>431</v>
      </c>
    </row>
    <row r="49" spans="1:10" s="3" customFormat="1" ht="13.5" customHeight="1" thickBot="1" x14ac:dyDescent="0.4">
      <c r="A49" s="48">
        <f>HYPERLINK("https://bluetooth.atlassian.net/browse/ES-5532",5532)</f>
        <v>5532</v>
      </c>
      <c r="B49" s="47" t="s">
        <v>629</v>
      </c>
      <c r="C49" s="38">
        <v>1.2</v>
      </c>
      <c r="D49" s="38" t="s">
        <v>433</v>
      </c>
      <c r="E49" s="117" t="s">
        <v>5</v>
      </c>
      <c r="F49" s="112" t="s">
        <v>1</v>
      </c>
      <c r="G49" s="115"/>
      <c r="H49" s="38"/>
      <c r="I49" s="119"/>
      <c r="J49" s="38"/>
    </row>
    <row r="50" spans="1:10" s="3" customFormat="1" ht="25.9" thickBot="1" x14ac:dyDescent="0.4">
      <c r="A50" s="49">
        <f>HYPERLINK("https://bluetooth.atlassian.net/browse/ES-5546",5546)</f>
        <v>5546</v>
      </c>
      <c r="B50" s="36" t="s">
        <v>629</v>
      </c>
      <c r="C50" s="52">
        <v>1.2</v>
      </c>
      <c r="D50" s="36" t="s">
        <v>434</v>
      </c>
      <c r="E50" s="116" t="s">
        <v>188</v>
      </c>
      <c r="F50" s="118" t="s">
        <v>1</v>
      </c>
      <c r="G50" s="36"/>
      <c r="H50" s="36"/>
      <c r="I50" s="36"/>
      <c r="J50" s="36" t="s">
        <v>4</v>
      </c>
    </row>
    <row r="51" spans="1:10" s="3" customFormat="1" ht="25.9" thickBot="1" x14ac:dyDescent="0.4">
      <c r="A51" s="53">
        <f>HYPERLINK("https://bluetooth.atlassian.net/browse/ES-5590",5590)</f>
        <v>5590</v>
      </c>
      <c r="B51" s="47" t="s">
        <v>629</v>
      </c>
      <c r="C51" s="47">
        <v>1.2</v>
      </c>
      <c r="D51" s="47" t="s">
        <v>435</v>
      </c>
      <c r="E51" s="117" t="s">
        <v>188</v>
      </c>
      <c r="F51" s="112" t="s">
        <v>1</v>
      </c>
      <c r="G51" s="115"/>
      <c r="H51" s="47"/>
      <c r="I51" s="119"/>
      <c r="J51" s="47" t="s">
        <v>4</v>
      </c>
    </row>
    <row r="52" spans="1:10" s="3" customFormat="1" ht="25.9" thickBot="1" x14ac:dyDescent="0.4">
      <c r="A52" s="60">
        <f>HYPERLINK("https://bluetooth.atlassian.net/browse/ES-5591",5591)</f>
        <v>5591</v>
      </c>
      <c r="B52" s="36" t="s">
        <v>629</v>
      </c>
      <c r="C52" s="58">
        <v>1.1000000000000001</v>
      </c>
      <c r="D52" s="58" t="s">
        <v>436</v>
      </c>
      <c r="E52" s="116" t="s">
        <v>188</v>
      </c>
      <c r="F52" s="118" t="s">
        <v>1</v>
      </c>
      <c r="G52" s="36"/>
      <c r="H52" s="58"/>
      <c r="I52" s="36"/>
      <c r="J52" s="58" t="s">
        <v>4</v>
      </c>
    </row>
    <row r="53" spans="1:10" s="3" customFormat="1" ht="25.9" thickBot="1" x14ac:dyDescent="0.4">
      <c r="A53" s="48">
        <f>HYPERLINK("https://bluetooth.atlassian.net/browse/ES-5925",5925)</f>
        <v>5925</v>
      </c>
      <c r="B53" s="47" t="s">
        <v>629</v>
      </c>
      <c r="C53" s="47">
        <v>1.2</v>
      </c>
      <c r="D53" s="38" t="s">
        <v>437</v>
      </c>
      <c r="E53" s="117" t="s">
        <v>188</v>
      </c>
      <c r="F53" s="112" t="s">
        <v>1</v>
      </c>
      <c r="G53" s="115"/>
      <c r="H53" s="38"/>
      <c r="I53" s="119"/>
      <c r="J53" s="38"/>
    </row>
    <row r="54" spans="1:10" s="3" customFormat="1" ht="27" customHeight="1" thickBot="1" x14ac:dyDescent="0.4">
      <c r="A54" s="49">
        <f>HYPERLINK("https://bluetooth.atlassian.net/browse/ES-6097",6097)</f>
        <v>6097</v>
      </c>
      <c r="B54" s="36" t="s">
        <v>629</v>
      </c>
      <c r="C54" s="36">
        <v>1.2</v>
      </c>
      <c r="D54" s="36" t="s">
        <v>438</v>
      </c>
      <c r="E54" s="116" t="s">
        <v>188</v>
      </c>
      <c r="F54" s="118" t="s">
        <v>1</v>
      </c>
      <c r="G54" s="36"/>
      <c r="H54" s="36"/>
      <c r="I54" s="36"/>
      <c r="J54" s="36" t="s">
        <v>4</v>
      </c>
    </row>
    <row r="55" spans="1:10" s="3" customFormat="1" ht="38.65" thickBot="1" x14ac:dyDescent="0.4">
      <c r="A55" s="53">
        <f>HYPERLINK("https://bluetooth.atlassian.net/browse/ES-6221",6221)</f>
        <v>6221</v>
      </c>
      <c r="B55" s="47" t="s">
        <v>629</v>
      </c>
      <c r="C55" s="47">
        <v>1.2</v>
      </c>
      <c r="D55" s="47" t="s">
        <v>439</v>
      </c>
      <c r="E55" s="117" t="s">
        <v>5</v>
      </c>
      <c r="F55" s="112" t="s">
        <v>1</v>
      </c>
      <c r="G55" s="115"/>
      <c r="H55" s="47"/>
      <c r="I55" s="119"/>
      <c r="J55" s="47" t="s">
        <v>4</v>
      </c>
    </row>
    <row r="56" spans="1:10" ht="25.9" thickBot="1" x14ac:dyDescent="0.4">
      <c r="A56" s="35">
        <f>HYPERLINK("https://bluetooth.atlassian.net/browse/ES-6769",6769)</f>
        <v>6769</v>
      </c>
      <c r="B56" s="36" t="s">
        <v>629</v>
      </c>
      <c r="C56" s="36">
        <v>1.2</v>
      </c>
      <c r="D56" s="36" t="s">
        <v>440</v>
      </c>
      <c r="E56" s="116" t="s">
        <v>188</v>
      </c>
      <c r="F56" s="118" t="s">
        <v>1</v>
      </c>
      <c r="G56" s="36"/>
      <c r="H56" s="35"/>
      <c r="I56" s="36"/>
      <c r="J56" s="36"/>
    </row>
    <row r="57" spans="1:10" ht="25.9" thickBot="1" x14ac:dyDescent="0.4">
      <c r="A57" s="48">
        <f>HYPERLINK("https://bluetooth.atlassian.net/browse/ES-6932",6932)</f>
        <v>6932</v>
      </c>
      <c r="B57" s="47" t="s">
        <v>629</v>
      </c>
      <c r="C57" s="38" t="s">
        <v>628</v>
      </c>
      <c r="D57" s="38" t="s">
        <v>441</v>
      </c>
      <c r="E57" s="117" t="s">
        <v>5</v>
      </c>
      <c r="F57" s="112" t="s">
        <v>1</v>
      </c>
      <c r="G57" s="115"/>
      <c r="H57" s="38"/>
      <c r="I57" s="119"/>
      <c r="J57" s="38" t="s">
        <v>4</v>
      </c>
    </row>
    <row r="58" spans="1:10" ht="25.9" thickBot="1" x14ac:dyDescent="0.4">
      <c r="A58" s="49">
        <f>HYPERLINK("https://bluetooth.atlassian.net/browse/ES-6933",6933)</f>
        <v>6933</v>
      </c>
      <c r="B58" s="36" t="s">
        <v>629</v>
      </c>
      <c r="C58" s="36" t="s">
        <v>628</v>
      </c>
      <c r="D58" s="36" t="s">
        <v>442</v>
      </c>
      <c r="E58" s="116" t="s">
        <v>5</v>
      </c>
      <c r="F58" s="118" t="s">
        <v>1</v>
      </c>
      <c r="G58" s="36"/>
      <c r="H58" s="50"/>
      <c r="I58" s="36"/>
      <c r="J58" s="36"/>
    </row>
    <row r="59" spans="1:10" ht="25.9" thickBot="1" x14ac:dyDescent="0.4">
      <c r="A59" s="48">
        <f>HYPERLINK("https://bluetooth.atlassian.net/browse/ES-6942",6942)</f>
        <v>6942</v>
      </c>
      <c r="B59" s="47" t="s">
        <v>629</v>
      </c>
      <c r="C59" s="38" t="s">
        <v>628</v>
      </c>
      <c r="D59" s="38" t="s">
        <v>443</v>
      </c>
      <c r="E59" s="117" t="s">
        <v>5</v>
      </c>
      <c r="F59" s="112" t="s">
        <v>1</v>
      </c>
      <c r="G59" s="115"/>
      <c r="H59" s="38"/>
      <c r="I59" s="119"/>
      <c r="J59" s="38"/>
    </row>
    <row r="60" spans="1:10" ht="25.9" thickBot="1" x14ac:dyDescent="0.4">
      <c r="A60" s="60">
        <f>HYPERLINK("https://bluetooth.atlassian.net/browse/ES-7439",7439)</f>
        <v>7439</v>
      </c>
      <c r="B60" s="36" t="s">
        <v>629</v>
      </c>
      <c r="C60" s="58">
        <v>1.3</v>
      </c>
      <c r="D60" s="58" t="s">
        <v>444</v>
      </c>
      <c r="E60" s="116" t="s">
        <v>188</v>
      </c>
      <c r="F60" s="118" t="s">
        <v>1</v>
      </c>
      <c r="G60" s="36"/>
      <c r="H60" s="58"/>
      <c r="I60" s="36"/>
      <c r="J60" s="58" t="s">
        <v>4</v>
      </c>
    </row>
    <row r="61" spans="1:10" ht="25.9" thickBot="1" x14ac:dyDescent="0.4">
      <c r="A61" s="48">
        <f>HYPERLINK("https://bluetooth.atlassian.net/browse/ES-7766",7766)</f>
        <v>7766</v>
      </c>
      <c r="B61" s="47" t="s">
        <v>629</v>
      </c>
      <c r="C61" s="38">
        <v>1.3</v>
      </c>
      <c r="D61" s="38" t="s">
        <v>445</v>
      </c>
      <c r="E61" s="117" t="s">
        <v>188</v>
      </c>
      <c r="F61" s="112" t="s">
        <v>1</v>
      </c>
      <c r="G61" s="115"/>
      <c r="H61" s="38"/>
      <c r="I61" s="119"/>
      <c r="J61" s="38"/>
    </row>
    <row r="62" spans="1:10" ht="38.65" thickBot="1" x14ac:dyDescent="0.4">
      <c r="A62" s="49">
        <f>HYPERLINK("https://bluetooth.atlassian.net/browse/ES-8312",8312)</f>
        <v>8312</v>
      </c>
      <c r="B62" s="36" t="s">
        <v>629</v>
      </c>
      <c r="C62" s="58">
        <v>1.3</v>
      </c>
      <c r="D62" s="36" t="s">
        <v>446</v>
      </c>
      <c r="E62" s="116" t="s">
        <v>188</v>
      </c>
      <c r="F62" s="118" t="s">
        <v>604</v>
      </c>
      <c r="G62" s="36" t="s">
        <v>188</v>
      </c>
      <c r="H62" s="61">
        <f>HYPERLINK("https://bluetooth.atlassian.net/browse/ES-11638",11638)</f>
        <v>11638</v>
      </c>
      <c r="I62" s="36" t="s">
        <v>42</v>
      </c>
      <c r="J62" s="55" t="s">
        <v>455</v>
      </c>
    </row>
    <row r="63" spans="1:10" ht="25.9" thickBot="1" x14ac:dyDescent="0.4">
      <c r="A63" s="53">
        <f>HYPERLINK("https://bluetooth.atlassian.net/browse/ES-8849",8849)</f>
        <v>8849</v>
      </c>
      <c r="B63" s="47" t="s">
        <v>629</v>
      </c>
      <c r="C63" s="38">
        <v>1.3</v>
      </c>
      <c r="D63" s="47" t="s">
        <v>452</v>
      </c>
      <c r="E63" s="117" t="s">
        <v>188</v>
      </c>
      <c r="F63" s="112" t="s">
        <v>1</v>
      </c>
      <c r="G63" s="115"/>
      <c r="H63" s="47"/>
      <c r="I63" s="119"/>
      <c r="J63" s="47" t="s">
        <v>4</v>
      </c>
    </row>
    <row r="64" spans="1:10" ht="25.9" thickBot="1" x14ac:dyDescent="0.4">
      <c r="A64" s="60">
        <f>HYPERLINK("https://bluetooth.atlassian.net/browse/ES-9855",9855)</f>
        <v>9855</v>
      </c>
      <c r="B64" s="36" t="s">
        <v>629</v>
      </c>
      <c r="C64" s="58">
        <v>1.4</v>
      </c>
      <c r="D64" s="58" t="s">
        <v>453</v>
      </c>
      <c r="E64" s="116" t="s">
        <v>5</v>
      </c>
      <c r="F64" s="118" t="s">
        <v>1</v>
      </c>
      <c r="G64" s="36"/>
      <c r="H64" s="58"/>
      <c r="I64" s="36"/>
      <c r="J64" s="58"/>
    </row>
    <row r="65" spans="1:10" ht="25.9" thickBot="1" x14ac:dyDescent="0.4">
      <c r="A65" s="48">
        <f>HYPERLINK("https://bluetooth.atlassian.net/browse/ES-10223",10223)</f>
        <v>10223</v>
      </c>
      <c r="B65" s="47" t="s">
        <v>629</v>
      </c>
      <c r="C65" s="38">
        <v>1.4</v>
      </c>
      <c r="D65" s="38" t="s">
        <v>454</v>
      </c>
      <c r="E65" s="117" t="s">
        <v>188</v>
      </c>
      <c r="F65" s="112" t="s">
        <v>1</v>
      </c>
      <c r="G65" s="115"/>
      <c r="H65" s="38"/>
      <c r="I65" s="119"/>
      <c r="J65" s="38"/>
    </row>
    <row r="66" spans="1:10" s="3" customFormat="1" ht="27" customHeight="1" thickBot="1" x14ac:dyDescent="0.4">
      <c r="A66" s="49">
        <f>HYPERLINK("https://bluetooth.atlassian.net/browse/ES-11797",11797)</f>
        <v>11797</v>
      </c>
      <c r="B66" s="74" t="s">
        <v>629</v>
      </c>
      <c r="C66" s="74">
        <v>1.4</v>
      </c>
      <c r="D66" s="74" t="s">
        <v>669</v>
      </c>
      <c r="E66" s="114" t="s">
        <v>594</v>
      </c>
      <c r="F66" s="113" t="s">
        <v>1</v>
      </c>
      <c r="G66" s="36"/>
      <c r="H66" s="36"/>
      <c r="I66" s="36"/>
      <c r="J66" s="36" t="s">
        <v>4</v>
      </c>
    </row>
    <row r="67" spans="1:10" s="3" customFormat="1" ht="25.9" thickBot="1" x14ac:dyDescent="0.4">
      <c r="A67" s="53">
        <f>HYPERLINK("https://bluetooth.atlassian.net/browse/ES-18776",18776)</f>
        <v>18776</v>
      </c>
      <c r="B67" s="73" t="s">
        <v>629</v>
      </c>
      <c r="C67" s="73" t="s">
        <v>670</v>
      </c>
      <c r="D67" s="73" t="s">
        <v>561</v>
      </c>
      <c r="E67" s="152" t="s">
        <v>5</v>
      </c>
      <c r="F67" s="111" t="s">
        <v>1</v>
      </c>
      <c r="G67" s="115"/>
      <c r="H67" s="47"/>
      <c r="I67" s="119"/>
      <c r="J67" s="47" t="s">
        <v>4</v>
      </c>
    </row>
    <row r="68" spans="1:10" ht="25.9" thickBot="1" x14ac:dyDescent="0.4">
      <c r="A68" s="35">
        <f>HYPERLINK("https://bluetooth.atlassian.net/browse/ES-18791",18791)</f>
        <v>18791</v>
      </c>
      <c r="B68" s="74" t="s">
        <v>629</v>
      </c>
      <c r="C68" s="74" t="s">
        <v>670</v>
      </c>
      <c r="D68" s="74" t="s">
        <v>599</v>
      </c>
      <c r="E68" s="114" t="s">
        <v>5</v>
      </c>
      <c r="F68" s="113" t="s">
        <v>1</v>
      </c>
      <c r="G68" s="36"/>
      <c r="H68" s="35"/>
      <c r="I68" s="36"/>
      <c r="J68" s="36"/>
    </row>
    <row r="69" spans="1:10" ht="25.9" thickBot="1" x14ac:dyDescent="0.4">
      <c r="A69" s="48">
        <f>HYPERLINK("https://bluetooth.atlassian.net/browse/ES-22347",22347)</f>
        <v>22347</v>
      </c>
      <c r="B69" s="73" t="s">
        <v>629</v>
      </c>
      <c r="C69" s="110" t="s">
        <v>670</v>
      </c>
      <c r="D69" s="110" t="s">
        <v>671</v>
      </c>
      <c r="E69" s="152" t="s">
        <v>5</v>
      </c>
      <c r="F69" s="111" t="s">
        <v>1</v>
      </c>
      <c r="G69" s="115"/>
      <c r="H69" s="38"/>
      <c r="I69" s="119"/>
      <c r="J69" s="38" t="s">
        <v>4</v>
      </c>
    </row>
    <row r="70" spans="1:10" ht="25.9" thickBot="1" x14ac:dyDescent="0.4">
      <c r="A70" s="49">
        <f>HYPERLINK("https://bluetooth.atlassian.net/browse/ES-23840",23840)</f>
        <v>23840</v>
      </c>
      <c r="B70" s="74" t="s">
        <v>629</v>
      </c>
      <c r="C70" s="74" t="s">
        <v>670</v>
      </c>
      <c r="D70" s="74" t="s">
        <v>672</v>
      </c>
      <c r="E70" s="114" t="s">
        <v>5</v>
      </c>
      <c r="F70" s="113" t="s">
        <v>1</v>
      </c>
      <c r="G70" s="36"/>
      <c r="H70" s="50"/>
      <c r="I70" s="36"/>
      <c r="J70" s="36"/>
    </row>
    <row r="71" spans="1:10" ht="25.9" thickBot="1" x14ac:dyDescent="0.4">
      <c r="A71" s="48">
        <f>HYPERLINK("https://bluetooth.atlassian.net/browse/ES-23841",23841)</f>
        <v>23841</v>
      </c>
      <c r="B71" s="73" t="s">
        <v>629</v>
      </c>
      <c r="C71" s="110" t="s">
        <v>611</v>
      </c>
      <c r="D71" s="110" t="s">
        <v>672</v>
      </c>
      <c r="E71" s="152" t="s">
        <v>5</v>
      </c>
      <c r="F71" s="111" t="s">
        <v>1</v>
      </c>
      <c r="G71" s="115"/>
      <c r="H71" s="38"/>
      <c r="I71" s="119"/>
      <c r="J71" s="38"/>
    </row>
    <row r="72" spans="1:10" ht="25.9" thickBot="1" x14ac:dyDescent="0.4">
      <c r="A72" s="60">
        <f>HYPERLINK("https://bluetooth.atlassian.net/browse/ES-26766",26766)</f>
        <v>26766</v>
      </c>
      <c r="B72" s="74" t="s">
        <v>629</v>
      </c>
      <c r="C72" s="151" t="s">
        <v>611</v>
      </c>
      <c r="D72" s="151" t="s">
        <v>561</v>
      </c>
      <c r="E72" s="114" t="s">
        <v>5</v>
      </c>
      <c r="F72" s="113" t="s">
        <v>1</v>
      </c>
      <c r="G72" s="36"/>
      <c r="H72" s="58"/>
      <c r="I72" s="36"/>
      <c r="J72" s="58" t="s">
        <v>4</v>
      </c>
    </row>
    <row r="73" spans="1:10" ht="25.9" thickBot="1" x14ac:dyDescent="0.4">
      <c r="A73" s="48">
        <f>HYPERLINK("https://bluetooth.atlassian.net/browse/ES-26767",26767)</f>
        <v>26767</v>
      </c>
      <c r="B73" s="73" t="s">
        <v>629</v>
      </c>
      <c r="C73" s="110" t="s">
        <v>611</v>
      </c>
      <c r="D73" s="110" t="s">
        <v>671</v>
      </c>
      <c r="E73" s="152" t="s">
        <v>5</v>
      </c>
      <c r="F73" s="111" t="s">
        <v>1</v>
      </c>
      <c r="G73" s="115"/>
      <c r="H73" s="38"/>
      <c r="I73" s="119"/>
      <c r="J73" s="38"/>
    </row>
    <row r="74" spans="1:10" ht="25.9" thickBot="1" x14ac:dyDescent="0.4">
      <c r="A74" s="49">
        <f>HYPERLINK("https://bluetooth.atlassian.net/browse/ES-26773",26773)</f>
        <v>26773</v>
      </c>
      <c r="B74" s="74" t="s">
        <v>629</v>
      </c>
      <c r="C74" s="151" t="s">
        <v>611</v>
      </c>
      <c r="D74" s="74" t="s">
        <v>673</v>
      </c>
      <c r="E74" s="114" t="s">
        <v>5</v>
      </c>
      <c r="F74" s="113" t="s">
        <v>1</v>
      </c>
      <c r="G74" s="36"/>
      <c r="H74" s="61"/>
      <c r="I74" s="36"/>
      <c r="J74" s="55"/>
    </row>
  </sheetData>
  <mergeCells count="27">
    <mergeCell ref="A2:I2"/>
    <mergeCell ref="A3:I3"/>
    <mergeCell ref="D4:F4"/>
    <mergeCell ref="D10:F10"/>
    <mergeCell ref="D12:F12"/>
    <mergeCell ref="G4:I4"/>
    <mergeCell ref="G5:I5"/>
    <mergeCell ref="G6:I6"/>
    <mergeCell ref="G7:I7"/>
    <mergeCell ref="G8:I8"/>
    <mergeCell ref="G15:I15"/>
    <mergeCell ref="D7:F7"/>
    <mergeCell ref="D8:F8"/>
    <mergeCell ref="D9:F9"/>
    <mergeCell ref="A17:B17"/>
    <mergeCell ref="D13:F13"/>
    <mergeCell ref="D15:F15"/>
    <mergeCell ref="D5:F5"/>
    <mergeCell ref="D6:F6"/>
    <mergeCell ref="G11:I11"/>
    <mergeCell ref="D11:F11"/>
    <mergeCell ref="D14:F14"/>
    <mergeCell ref="G14:I14"/>
    <mergeCell ref="G9:I9"/>
    <mergeCell ref="G10:I10"/>
    <mergeCell ref="G12:I12"/>
    <mergeCell ref="G13:I13"/>
  </mergeCells>
  <conditionalFormatting sqref="F20:F74">
    <cfRule type="cellIs" dxfId="7" priority="1" operator="greaterThan">
      <formula>"Yes"</formula>
    </cfRule>
  </conditionalFormatting>
  <dataValidations count="7">
    <dataValidation type="list" allowBlank="1" sqref="I19" xr:uid="{00000000-0002-0000-1300-000000000000}">
      <formula1>#REF!</formula1>
    </dataValidation>
    <dataValidation type="list" allowBlank="1" sqref="F19:H19" xr:uid="{96325AD0-6566-4EC8-93D0-E1801B069A97}">
      <formula1>#REF!</formula1>
    </dataValidation>
    <dataValidation allowBlank="1" sqref="H20:H74" xr:uid="{E9CB3D7E-4735-4C38-A556-D190E50CA235}"/>
    <dataValidation type="list" allowBlank="1" showInputMessage="1" showErrorMessage="1" sqref="G20:G74" xr:uid="{311EEC7C-026A-40B5-A39F-8B570D129CF9}">
      <formula1>"1,2,3,4,Not Categorized"</formula1>
    </dataValidation>
    <dataValidation type="list" allowBlank="1" showInputMessage="1" showErrorMessage="1" sqref="E20:E74" xr:uid="{59D98538-CB62-4318-BE54-34BDC17C89C6}">
      <formula1>"Editorial,1/Technical Low,2/Technical Medium,3/Technical High,4/Technical Critical,Not Categorized"</formula1>
    </dataValidation>
    <dataValidation type="list" allowBlank="1" sqref="F20:F74" xr:uid="{86435072-7717-4D13-A600-4221E827BDA8}">
      <formula1>"No,Yes - doesn't need to wait for erratum,Yes - tied to spec change,Not Reviewed"</formula1>
    </dataValidation>
    <dataValidation type="list" allowBlank="1" sqref="I20:I74" xr:uid="{5D2EA02A-03C8-46AA-8D7E-4A386A27390F}">
      <formula1>"Open,Approved,Rejected,Released"</formula1>
    </dataValidation>
  </dataValidations>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J18"/>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8.1328125" customWidth="1"/>
  </cols>
  <sheetData>
    <row r="1" spans="1:10" ht="28.5" customHeight="1" thickBot="1" x14ac:dyDescent="0.65">
      <c r="A1" s="19" t="s">
        <v>456</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30.95" customHeight="1" thickBot="1" x14ac:dyDescent="0.5">
      <c r="A4" s="144" t="s">
        <v>8</v>
      </c>
      <c r="B4" s="145" t="s">
        <v>6</v>
      </c>
      <c r="C4" s="144" t="s">
        <v>541</v>
      </c>
      <c r="D4" s="212" t="s">
        <v>9</v>
      </c>
      <c r="E4" s="213"/>
      <c r="F4" s="214"/>
      <c r="G4" s="212" t="s">
        <v>550</v>
      </c>
      <c r="H4" s="213"/>
      <c r="I4" s="214"/>
      <c r="J4" s="3"/>
    </row>
    <row r="5" spans="1:10" s="5" customFormat="1" ht="38.25" customHeight="1" thickBot="1" x14ac:dyDescent="0.5">
      <c r="A5" s="94" t="s">
        <v>457</v>
      </c>
      <c r="B5" s="94">
        <v>40416</v>
      </c>
      <c r="C5" s="147" t="s">
        <v>556</v>
      </c>
      <c r="D5" s="194" t="s">
        <v>459</v>
      </c>
      <c r="E5" s="195"/>
      <c r="F5" s="196"/>
      <c r="G5" s="194" t="s">
        <v>168</v>
      </c>
      <c r="H5" s="195"/>
      <c r="I5" s="196"/>
      <c r="J5" s="3"/>
    </row>
    <row r="6" spans="1:10" s="65" customFormat="1" ht="17.2" customHeight="1" thickBot="1" x14ac:dyDescent="0.4">
      <c r="A6" s="91" t="s">
        <v>458</v>
      </c>
      <c r="B6" s="91">
        <v>42353</v>
      </c>
      <c r="C6" s="96" t="s">
        <v>15</v>
      </c>
      <c r="D6" s="197" t="s">
        <v>460</v>
      </c>
      <c r="E6" s="198"/>
      <c r="F6" s="199"/>
      <c r="G6" s="218" t="s">
        <v>92</v>
      </c>
      <c r="H6" s="219"/>
      <c r="I6" s="220"/>
      <c r="J6" s="3"/>
    </row>
    <row r="7" spans="1:10" s="5" customFormat="1" ht="14.25" x14ac:dyDescent="0.45">
      <c r="A7" s="137"/>
      <c r="B7" s="137"/>
      <c r="C7" s="137"/>
      <c r="D7" s="137"/>
      <c r="E7" s="137"/>
      <c r="F7" s="137"/>
      <c r="G7" s="137"/>
      <c r="H7" s="137"/>
      <c r="I7" s="137"/>
      <c r="J7" s="3"/>
    </row>
    <row r="8" spans="1:10" ht="21" customHeight="1" x14ac:dyDescent="0.4">
      <c r="A8" s="187" t="s">
        <v>7</v>
      </c>
      <c r="B8" s="187"/>
      <c r="C8" s="134"/>
      <c r="D8" s="135"/>
      <c r="E8" s="135"/>
      <c r="F8" s="136"/>
      <c r="G8" s="136"/>
      <c r="H8" s="136"/>
      <c r="I8" s="136"/>
      <c r="J8" s="3"/>
    </row>
    <row r="9" spans="1:10" ht="21" customHeight="1" thickBot="1" x14ac:dyDescent="0.45">
      <c r="A9" s="132" t="s">
        <v>660</v>
      </c>
      <c r="B9" s="133"/>
      <c r="C9" s="134"/>
      <c r="D9" s="132"/>
      <c r="E9" s="135"/>
      <c r="F9" s="136"/>
      <c r="G9" s="136"/>
      <c r="H9" s="136"/>
      <c r="I9" s="136"/>
      <c r="J9" s="3"/>
    </row>
    <row r="10" spans="1:10" s="2" customFormat="1" ht="26.65" thickBot="1" x14ac:dyDescent="0.45">
      <c r="A10" s="32" t="s">
        <v>208</v>
      </c>
      <c r="B10" s="32" t="s">
        <v>661</v>
      </c>
      <c r="C10" s="32" t="s">
        <v>605</v>
      </c>
      <c r="D10" s="33" t="s">
        <v>263</v>
      </c>
      <c r="E10" s="33" t="s">
        <v>662</v>
      </c>
      <c r="F10" s="34" t="s">
        <v>0</v>
      </c>
      <c r="G10" s="33" t="s">
        <v>663</v>
      </c>
      <c r="H10" s="34" t="s">
        <v>664</v>
      </c>
      <c r="I10" s="34" t="s">
        <v>3</v>
      </c>
      <c r="J10" s="33" t="s">
        <v>2</v>
      </c>
    </row>
    <row r="11" spans="1:10" s="2" customFormat="1" ht="25.9" thickBot="1" x14ac:dyDescent="0.45">
      <c r="A11" s="35">
        <f>HYPERLINK("https://bluetooth.atlassian.net/browse/ES-385",385)</f>
        <v>385</v>
      </c>
      <c r="B11" s="36" t="s">
        <v>630</v>
      </c>
      <c r="C11" s="36">
        <v>1.1000000000000001</v>
      </c>
      <c r="D11" s="57" t="s">
        <v>461</v>
      </c>
      <c r="E11" s="116" t="s">
        <v>188</v>
      </c>
      <c r="F11" s="118" t="s">
        <v>1</v>
      </c>
      <c r="G11" s="36"/>
      <c r="H11" s="35"/>
      <c r="I11" s="36"/>
      <c r="J11" s="36"/>
    </row>
    <row r="12" spans="1:10" s="2" customFormat="1" ht="38.65" thickBot="1" x14ac:dyDescent="0.45">
      <c r="A12" s="45">
        <f>HYPERLINK("https://bluetooth.atlassian.net/browse/ES-498",498)</f>
        <v>498</v>
      </c>
      <c r="B12" s="47" t="s">
        <v>630</v>
      </c>
      <c r="C12" s="47">
        <v>1.1000000000000001</v>
      </c>
      <c r="D12" s="47" t="s">
        <v>462</v>
      </c>
      <c r="E12" s="117" t="s">
        <v>188</v>
      </c>
      <c r="F12" s="112" t="s">
        <v>1</v>
      </c>
      <c r="G12" s="115"/>
      <c r="H12" s="46"/>
      <c r="I12" s="119"/>
      <c r="J12" s="47" t="s">
        <v>463</v>
      </c>
    </row>
    <row r="13" spans="1:10" s="2" customFormat="1" ht="25.9" thickBot="1" x14ac:dyDescent="0.45">
      <c r="A13" s="35">
        <f>HYPERLINK("https://bluetooth.atlassian.net/browse/ES-940",940)</f>
        <v>940</v>
      </c>
      <c r="B13" s="36" t="s">
        <v>630</v>
      </c>
      <c r="C13" s="36">
        <v>1.1000000000000001</v>
      </c>
      <c r="D13" s="36" t="s">
        <v>464</v>
      </c>
      <c r="E13" s="116" t="s">
        <v>188</v>
      </c>
      <c r="F13" s="118" t="s">
        <v>1</v>
      </c>
      <c r="G13" s="36"/>
      <c r="H13" s="35"/>
      <c r="I13" s="36"/>
      <c r="J13" s="36"/>
    </row>
    <row r="14" spans="1:10" s="2" customFormat="1" ht="38.65" thickBot="1" x14ac:dyDescent="0.45">
      <c r="A14" s="45">
        <f>HYPERLINK("https://bluetooth.atlassian.net/browse/ES-2447",2447)</f>
        <v>2447</v>
      </c>
      <c r="B14" s="47" t="s">
        <v>630</v>
      </c>
      <c r="C14" s="47">
        <v>1.1000000000000001</v>
      </c>
      <c r="D14" s="47" t="s">
        <v>465</v>
      </c>
      <c r="E14" s="117" t="s">
        <v>188</v>
      </c>
      <c r="F14" s="112" t="s">
        <v>1</v>
      </c>
      <c r="G14" s="115"/>
      <c r="H14" s="46"/>
      <c r="I14" s="119"/>
      <c r="J14" s="47"/>
    </row>
    <row r="15" spans="1:10" s="2" customFormat="1" ht="25.9" thickBot="1" x14ac:dyDescent="0.45">
      <c r="A15" s="35">
        <f>HYPERLINK("https://bluetooth.atlassian.net/browse/ES-3085",3085)</f>
        <v>3085</v>
      </c>
      <c r="B15" s="36" t="s">
        <v>630</v>
      </c>
      <c r="C15" s="36">
        <v>1.1000000000000001</v>
      </c>
      <c r="D15" s="36" t="s">
        <v>198</v>
      </c>
      <c r="E15" s="116" t="s">
        <v>188</v>
      </c>
      <c r="F15" s="118" t="s">
        <v>1</v>
      </c>
      <c r="G15" s="36"/>
      <c r="H15" s="35"/>
      <c r="I15" s="36"/>
      <c r="J15" s="36"/>
    </row>
    <row r="16" spans="1:10" s="2" customFormat="1" ht="13.5" thickBot="1" x14ac:dyDescent="0.45">
      <c r="A16" s="45">
        <f>HYPERLINK("https://bluetooth.atlassian.net/browse/ES-4114",4114)</f>
        <v>4114</v>
      </c>
      <c r="B16" s="47" t="s">
        <v>630</v>
      </c>
      <c r="C16" s="47">
        <v>1.2</v>
      </c>
      <c r="D16" s="47" t="s">
        <v>466</v>
      </c>
      <c r="E16" s="117" t="s">
        <v>5</v>
      </c>
      <c r="F16" s="112" t="s">
        <v>1</v>
      </c>
      <c r="G16" s="115"/>
      <c r="H16" s="46"/>
      <c r="I16" s="119"/>
      <c r="J16" s="47"/>
    </row>
    <row r="17" spans="1:10" s="2" customFormat="1" ht="25.9" thickBot="1" x14ac:dyDescent="0.45">
      <c r="A17" s="35">
        <f>HYPERLINK("https://bluetooth.atlassian.net/browse/ES-4297",4297)</f>
        <v>4297</v>
      </c>
      <c r="B17" s="36" t="s">
        <v>630</v>
      </c>
      <c r="C17" s="36">
        <v>1.2</v>
      </c>
      <c r="D17" s="36" t="s">
        <v>467</v>
      </c>
      <c r="E17" s="116" t="s">
        <v>188</v>
      </c>
      <c r="F17" s="118" t="s">
        <v>1</v>
      </c>
      <c r="G17" s="36"/>
      <c r="H17" s="35"/>
      <c r="I17" s="36"/>
      <c r="J17" s="36"/>
    </row>
    <row r="18" spans="1:10" s="2" customFormat="1" ht="27" customHeight="1" thickBot="1" x14ac:dyDescent="0.45">
      <c r="A18" s="45">
        <f>HYPERLINK("https://bluetooth.atlassian.net/browse/ES-6245",6245)</f>
        <v>6245</v>
      </c>
      <c r="B18" s="47" t="s">
        <v>630</v>
      </c>
      <c r="C18" s="47">
        <v>1.2</v>
      </c>
      <c r="D18" s="47" t="s">
        <v>468</v>
      </c>
      <c r="E18" s="117" t="s">
        <v>5</v>
      </c>
      <c r="F18" s="112" t="s">
        <v>1</v>
      </c>
      <c r="G18" s="115"/>
      <c r="H18" s="46"/>
      <c r="I18" s="119"/>
      <c r="J18" s="47"/>
    </row>
  </sheetData>
  <mergeCells count="9">
    <mergeCell ref="A8:B8"/>
    <mergeCell ref="A2:I2"/>
    <mergeCell ref="A3:I3"/>
    <mergeCell ref="D4:F4"/>
    <mergeCell ref="D5:F5"/>
    <mergeCell ref="D6:F6"/>
    <mergeCell ref="G4:I4"/>
    <mergeCell ref="G5:I5"/>
    <mergeCell ref="G6:I6"/>
  </mergeCells>
  <conditionalFormatting sqref="F11:F18">
    <cfRule type="cellIs" dxfId="6" priority="1" operator="greaterThan">
      <formula>"Yes"</formula>
    </cfRule>
  </conditionalFormatting>
  <dataValidations count="6">
    <dataValidation type="list" allowBlank="1" sqref="I10" xr:uid="{00000000-0002-0000-1400-000000000000}">
      <formula1>#REF!</formula1>
    </dataValidation>
    <dataValidation type="list" allowBlank="1" sqref="F10:H10" xr:uid="{3A7C3E5A-74E5-4EDC-AF10-A73D6F094445}">
      <formula1>#REF!</formula1>
    </dataValidation>
    <dataValidation type="list" allowBlank="1" showInputMessage="1" showErrorMessage="1" sqref="E11:E18" xr:uid="{CF0314A1-82DE-4A2A-88A5-D8E8320D808C}">
      <formula1>"Editorial,1/Technical Low,2/Technical Medium,3/Technical High,4/Technical Critical,Not Categorized"</formula1>
    </dataValidation>
    <dataValidation type="list" allowBlank="1" sqref="I11:I18" xr:uid="{A3F1FDD7-7EC0-4ABF-8EFF-8517145BAC8B}">
      <formula1>"Open,Approved,Rejected,Released"</formula1>
    </dataValidation>
    <dataValidation type="list" allowBlank="1" showInputMessage="1" showErrorMessage="1" sqref="G11:G18" xr:uid="{89A6F927-629E-4F08-81F8-46B04CE9B7A3}">
      <formula1>"1,2,3,4,Not Categorized"</formula1>
    </dataValidation>
    <dataValidation type="list" allowBlank="1" sqref="F11:F18" xr:uid="{AA887486-3060-4E45-BF11-4047F764B97C}">
      <formula1>"No,Yes - doesn't need to wait for erratum,Yes - tied to spec change,Not Reviewed"</formula1>
    </dataValidation>
  </dataValidations>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J37"/>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7.53125" customWidth="1"/>
  </cols>
  <sheetData>
    <row r="1" spans="1:10" ht="28.5" customHeight="1" thickBot="1" x14ac:dyDescent="0.65">
      <c r="A1" s="19" t="s">
        <v>469</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27.2" customHeight="1" thickBot="1" x14ac:dyDescent="0.5">
      <c r="A4" s="30" t="s">
        <v>8</v>
      </c>
      <c r="B4" s="31" t="s">
        <v>6</v>
      </c>
      <c r="C4" s="30" t="s">
        <v>541</v>
      </c>
      <c r="D4" s="175" t="s">
        <v>9</v>
      </c>
      <c r="E4" s="176"/>
      <c r="F4" s="177"/>
      <c r="G4" s="175" t="s">
        <v>550</v>
      </c>
      <c r="H4" s="176"/>
      <c r="I4" s="177"/>
      <c r="J4" s="3"/>
    </row>
    <row r="5" spans="1:10" s="65" customFormat="1" ht="11.65" customHeight="1" thickBot="1" x14ac:dyDescent="0.4">
      <c r="A5" s="64" t="s">
        <v>470</v>
      </c>
      <c r="B5" s="69">
        <v>40416</v>
      </c>
      <c r="C5" s="96" t="s">
        <v>556</v>
      </c>
      <c r="D5" s="221" t="s">
        <v>136</v>
      </c>
      <c r="E5" s="222"/>
      <c r="F5" s="223"/>
      <c r="G5" s="221" t="s">
        <v>475</v>
      </c>
      <c r="H5" s="222"/>
      <c r="I5" s="223"/>
      <c r="J5" s="3"/>
    </row>
    <row r="6" spans="1:10" s="5" customFormat="1" ht="27" customHeight="1" thickBot="1" x14ac:dyDescent="0.5">
      <c r="A6" s="24" t="s">
        <v>471</v>
      </c>
      <c r="B6" s="26">
        <v>41583</v>
      </c>
      <c r="C6" s="26" t="s">
        <v>15</v>
      </c>
      <c r="D6" s="224" t="s">
        <v>476</v>
      </c>
      <c r="E6" s="225"/>
      <c r="F6" s="226"/>
      <c r="G6" s="224" t="s">
        <v>92</v>
      </c>
      <c r="H6" s="225"/>
      <c r="I6" s="226"/>
      <c r="J6" s="3"/>
    </row>
    <row r="7" spans="1:10" s="5" customFormat="1" ht="178.5" customHeight="1" thickBot="1" x14ac:dyDescent="0.5">
      <c r="A7" s="94" t="s">
        <v>472</v>
      </c>
      <c r="B7" s="147">
        <v>41583</v>
      </c>
      <c r="C7" s="147" t="s">
        <v>556</v>
      </c>
      <c r="D7" s="194" t="s">
        <v>511</v>
      </c>
      <c r="E7" s="195"/>
      <c r="F7" s="196"/>
      <c r="G7" s="194" t="s">
        <v>477</v>
      </c>
      <c r="H7" s="195"/>
      <c r="I7" s="196"/>
      <c r="J7" s="3"/>
    </row>
    <row r="8" spans="1:10" s="65" customFormat="1" ht="13.5" customHeight="1" thickBot="1" x14ac:dyDescent="0.4">
      <c r="A8" s="91" t="s">
        <v>474</v>
      </c>
      <c r="B8" s="96">
        <v>42353</v>
      </c>
      <c r="C8" s="147" t="s">
        <v>556</v>
      </c>
      <c r="D8" s="197" t="s">
        <v>504</v>
      </c>
      <c r="E8" s="198"/>
      <c r="F8" s="199"/>
      <c r="G8" s="197" t="s">
        <v>92</v>
      </c>
      <c r="H8" s="198"/>
      <c r="I8" s="199"/>
      <c r="J8" s="3"/>
    </row>
    <row r="9" spans="1:10" s="65" customFormat="1" ht="13.5" customHeight="1" thickBot="1" x14ac:dyDescent="0.4">
      <c r="A9" s="146" t="s">
        <v>473</v>
      </c>
      <c r="B9" s="96">
        <v>43480</v>
      </c>
      <c r="C9" s="96" t="s">
        <v>15</v>
      </c>
      <c r="D9" s="197" t="s">
        <v>503</v>
      </c>
      <c r="E9" s="198"/>
      <c r="F9" s="199"/>
      <c r="G9" s="197" t="s">
        <v>92</v>
      </c>
      <c r="H9" s="198"/>
      <c r="I9" s="199"/>
      <c r="J9" s="3"/>
    </row>
    <row r="10" spans="1:10" s="5" customFormat="1" ht="14.25" x14ac:dyDescent="0.45">
      <c r="A10" s="137"/>
      <c r="B10" s="137"/>
      <c r="C10" s="137"/>
      <c r="D10" s="137"/>
      <c r="E10" s="137"/>
      <c r="F10" s="137"/>
      <c r="G10" s="137"/>
      <c r="H10" s="137"/>
      <c r="I10" s="137"/>
      <c r="J10" s="3"/>
    </row>
    <row r="11" spans="1:10" ht="21" customHeight="1" x14ac:dyDescent="0.4">
      <c r="A11" s="187" t="s">
        <v>7</v>
      </c>
      <c r="B11" s="187"/>
      <c r="C11" s="134"/>
      <c r="D11" s="135"/>
      <c r="E11" s="135"/>
      <c r="F11" s="136"/>
      <c r="G11" s="136"/>
      <c r="H11" s="136"/>
      <c r="I11" s="136"/>
      <c r="J11" s="3"/>
    </row>
    <row r="12" spans="1:10" ht="21" customHeight="1" thickBot="1" x14ac:dyDescent="0.45">
      <c r="A12" s="132" t="s">
        <v>660</v>
      </c>
      <c r="B12" s="133"/>
      <c r="C12" s="134"/>
      <c r="D12" s="132"/>
      <c r="E12" s="135"/>
      <c r="F12" s="136"/>
      <c r="G12" s="136"/>
      <c r="H12" s="136"/>
      <c r="I12" s="136"/>
      <c r="J12" s="3"/>
    </row>
    <row r="13" spans="1:10" s="2" customFormat="1" ht="26.65" thickBot="1" x14ac:dyDescent="0.45">
      <c r="A13" s="32" t="s">
        <v>208</v>
      </c>
      <c r="B13" s="32" t="s">
        <v>661</v>
      </c>
      <c r="C13" s="32" t="s">
        <v>605</v>
      </c>
      <c r="D13" s="33" t="s">
        <v>263</v>
      </c>
      <c r="E13" s="33" t="s">
        <v>662</v>
      </c>
      <c r="F13" s="34" t="s">
        <v>0</v>
      </c>
      <c r="G13" s="33" t="s">
        <v>663</v>
      </c>
      <c r="H13" s="34" t="s">
        <v>664</v>
      </c>
      <c r="I13" s="34" t="s">
        <v>3</v>
      </c>
      <c r="J13" s="33" t="s">
        <v>2</v>
      </c>
    </row>
    <row r="14" spans="1:10" s="2" customFormat="1" ht="38.65" thickBot="1" x14ac:dyDescent="0.45">
      <c r="A14" s="35">
        <f>HYPERLINK("https://bluetooth.atlassian.net/browse/ES-1824",1824)</f>
        <v>1824</v>
      </c>
      <c r="B14" s="36" t="s">
        <v>478</v>
      </c>
      <c r="C14" s="123">
        <v>1</v>
      </c>
      <c r="D14" s="57" t="s">
        <v>479</v>
      </c>
      <c r="E14" s="116" t="s">
        <v>188</v>
      </c>
      <c r="F14" s="118" t="s">
        <v>1</v>
      </c>
      <c r="G14" s="36"/>
      <c r="H14" s="36"/>
      <c r="I14" s="36"/>
      <c r="J14" s="36" t="s">
        <v>652</v>
      </c>
    </row>
    <row r="15" spans="1:10" s="2" customFormat="1" ht="13.5" thickBot="1" x14ac:dyDescent="0.45">
      <c r="A15" s="45">
        <f>HYPERLINK("https://bluetooth.atlassian.net/browse/ES-1830",1830)</f>
        <v>1830</v>
      </c>
      <c r="B15" s="47" t="s">
        <v>478</v>
      </c>
      <c r="C15" s="126">
        <v>1</v>
      </c>
      <c r="D15" s="47" t="s">
        <v>480</v>
      </c>
      <c r="E15" s="117" t="s">
        <v>5</v>
      </c>
      <c r="F15" s="112" t="s">
        <v>1</v>
      </c>
      <c r="G15" s="115"/>
      <c r="H15" s="47"/>
      <c r="I15" s="119"/>
      <c r="J15" s="47"/>
    </row>
    <row r="16" spans="1:10" s="2" customFormat="1" ht="38.65" thickBot="1" x14ac:dyDescent="0.45">
      <c r="A16" s="35">
        <f>HYPERLINK("https://bluetooth.atlassian.net/browse/ES-1932",1932)</f>
        <v>1932</v>
      </c>
      <c r="B16" s="36" t="s">
        <v>478</v>
      </c>
      <c r="C16" s="123">
        <v>1</v>
      </c>
      <c r="D16" s="36" t="s">
        <v>481</v>
      </c>
      <c r="E16" s="116" t="s">
        <v>188</v>
      </c>
      <c r="F16" s="118" t="s">
        <v>1</v>
      </c>
      <c r="G16" s="36"/>
      <c r="H16" s="36"/>
      <c r="I16" s="36"/>
      <c r="J16" s="36" t="s">
        <v>652</v>
      </c>
    </row>
    <row r="17" spans="1:10" s="2" customFormat="1" ht="64.150000000000006" thickBot="1" x14ac:dyDescent="0.45">
      <c r="A17" s="45">
        <f>HYPERLINK("https://bluetooth.atlassian.net/browse/ES-2014",2014)</f>
        <v>2014</v>
      </c>
      <c r="B17" s="47" t="s">
        <v>478</v>
      </c>
      <c r="C17" s="126">
        <v>1</v>
      </c>
      <c r="D17" s="47" t="s">
        <v>482</v>
      </c>
      <c r="E17" s="117" t="s">
        <v>188</v>
      </c>
      <c r="F17" s="112" t="s">
        <v>601</v>
      </c>
      <c r="G17" s="115" t="s">
        <v>188</v>
      </c>
      <c r="H17" s="45">
        <f>HYPERLINK("https://bluetooth.atlassian.net/browse/ES-5385",5385)</f>
        <v>5385</v>
      </c>
      <c r="I17" s="119" t="s">
        <v>42</v>
      </c>
      <c r="J17" s="47" t="s">
        <v>651</v>
      </c>
    </row>
    <row r="18" spans="1:10" s="2" customFormat="1" ht="25.9" thickBot="1" x14ac:dyDescent="0.45">
      <c r="A18" s="35">
        <f>HYPERLINK("https://bluetooth.atlassian.net/browse/ES-2030",2030)</f>
        <v>2030</v>
      </c>
      <c r="B18" s="36" t="s">
        <v>478</v>
      </c>
      <c r="C18" s="123">
        <v>1</v>
      </c>
      <c r="D18" s="36" t="s">
        <v>483</v>
      </c>
      <c r="E18" s="116" t="s">
        <v>5</v>
      </c>
      <c r="F18" s="118" t="s">
        <v>1</v>
      </c>
      <c r="G18" s="36"/>
      <c r="H18" s="35"/>
      <c r="I18" s="36"/>
      <c r="J18" s="36"/>
    </row>
    <row r="19" spans="1:10" s="2" customFormat="1" ht="38.65" thickBot="1" x14ac:dyDescent="0.45">
      <c r="A19" s="45">
        <f>HYPERLINK("https://bluetooth.atlassian.net/browse/ES-2061",2061)</f>
        <v>2061</v>
      </c>
      <c r="B19" s="47" t="s">
        <v>478</v>
      </c>
      <c r="C19" s="126">
        <v>1</v>
      </c>
      <c r="D19" s="47" t="s">
        <v>484</v>
      </c>
      <c r="E19" s="117" t="s">
        <v>188</v>
      </c>
      <c r="F19" s="112" t="s">
        <v>1</v>
      </c>
      <c r="G19" s="115"/>
      <c r="H19" s="47"/>
      <c r="I19" s="119"/>
      <c r="J19" s="47" t="s">
        <v>653</v>
      </c>
    </row>
    <row r="20" spans="1:10" s="2" customFormat="1" ht="25.9" thickBot="1" x14ac:dyDescent="0.45">
      <c r="A20" s="35">
        <f>HYPERLINK("https://bluetooth.atlassian.net/browse/ES-2067",2067)</f>
        <v>2067</v>
      </c>
      <c r="B20" s="36" t="s">
        <v>478</v>
      </c>
      <c r="C20" s="123">
        <v>1</v>
      </c>
      <c r="D20" s="36" t="s">
        <v>485</v>
      </c>
      <c r="E20" s="116" t="s">
        <v>188</v>
      </c>
      <c r="F20" s="118" t="s">
        <v>1</v>
      </c>
      <c r="G20" s="36"/>
      <c r="H20" s="36"/>
      <c r="I20" s="36"/>
      <c r="J20" s="36" t="s">
        <v>654</v>
      </c>
    </row>
    <row r="21" spans="1:10" s="2" customFormat="1" ht="38.65" thickBot="1" x14ac:dyDescent="0.45">
      <c r="A21" s="45">
        <f>HYPERLINK("https://bluetooth.atlassian.net/browse/ES-2729",2729)</f>
        <v>2729</v>
      </c>
      <c r="B21" s="47" t="s">
        <v>478</v>
      </c>
      <c r="C21" s="126">
        <v>1</v>
      </c>
      <c r="D21" s="47" t="s">
        <v>486</v>
      </c>
      <c r="E21" s="117" t="s">
        <v>188</v>
      </c>
      <c r="F21" s="112" t="s">
        <v>1</v>
      </c>
      <c r="G21" s="115"/>
      <c r="H21" s="47"/>
      <c r="I21" s="119"/>
      <c r="J21" s="47" t="s">
        <v>652</v>
      </c>
    </row>
    <row r="22" spans="1:10" s="2" customFormat="1" ht="25.9" thickBot="1" x14ac:dyDescent="0.45">
      <c r="A22" s="35">
        <f>HYPERLINK("https://bluetooth.atlassian.net/browse/ES-2730",2730)</f>
        <v>2730</v>
      </c>
      <c r="B22" s="36" t="s">
        <v>478</v>
      </c>
      <c r="C22" s="123">
        <v>1</v>
      </c>
      <c r="D22" s="36" t="s">
        <v>487</v>
      </c>
      <c r="E22" s="116" t="s">
        <v>188</v>
      </c>
      <c r="F22" s="118" t="s">
        <v>601</v>
      </c>
      <c r="G22" s="36" t="s">
        <v>188</v>
      </c>
      <c r="H22" s="35">
        <f>HYPERLINK("https://bluetooth.atlassian.net/browse/ES-2699",2699)</f>
        <v>2699</v>
      </c>
      <c r="I22" s="36" t="s">
        <v>42</v>
      </c>
      <c r="J22" s="36" t="s">
        <v>655</v>
      </c>
    </row>
    <row r="23" spans="1:10" s="2" customFormat="1" ht="13.5" thickBot="1" x14ac:dyDescent="0.45">
      <c r="A23" s="45">
        <f>HYPERLINK("https://bluetooth.atlassian.net/browse/ES-2798",2798)</f>
        <v>2798</v>
      </c>
      <c r="B23" s="47" t="s">
        <v>478</v>
      </c>
      <c r="C23" s="126">
        <v>1</v>
      </c>
      <c r="D23" s="47" t="s">
        <v>488</v>
      </c>
      <c r="E23" s="117" t="s">
        <v>5</v>
      </c>
      <c r="F23" s="112" t="s">
        <v>1</v>
      </c>
      <c r="G23" s="115"/>
      <c r="H23" s="47"/>
      <c r="I23" s="119"/>
      <c r="J23" s="47"/>
    </row>
    <row r="24" spans="1:10" s="2" customFormat="1" ht="13.5" thickBot="1" x14ac:dyDescent="0.45">
      <c r="A24" s="35">
        <f>HYPERLINK("https://bluetooth.atlassian.net/browse/ES-3687",3687)</f>
        <v>3687</v>
      </c>
      <c r="B24" s="36" t="s">
        <v>478</v>
      </c>
      <c r="C24" s="123">
        <v>1</v>
      </c>
      <c r="D24" s="36" t="s">
        <v>489</v>
      </c>
      <c r="E24" s="116" t="s">
        <v>5</v>
      </c>
      <c r="F24" s="118" t="s">
        <v>1</v>
      </c>
      <c r="G24" s="36"/>
      <c r="H24" s="36"/>
      <c r="I24" s="36"/>
      <c r="J24" s="36"/>
    </row>
    <row r="25" spans="1:10" s="2" customFormat="1" ht="51.4" thickBot="1" x14ac:dyDescent="0.45">
      <c r="A25" s="45">
        <f>HYPERLINK("https://bluetooth.atlassian.net/browse/ES-3923",3923)</f>
        <v>3923</v>
      </c>
      <c r="B25" s="47" t="s">
        <v>478</v>
      </c>
      <c r="C25" s="126">
        <v>1</v>
      </c>
      <c r="D25" s="47" t="s">
        <v>490</v>
      </c>
      <c r="E25" s="117" t="s">
        <v>188</v>
      </c>
      <c r="F25" s="112" t="s">
        <v>1</v>
      </c>
      <c r="G25" s="115"/>
      <c r="H25" s="47"/>
      <c r="I25" s="119"/>
      <c r="J25" s="47"/>
    </row>
    <row r="26" spans="1:10" s="2" customFormat="1" ht="25.9" thickBot="1" x14ac:dyDescent="0.45">
      <c r="A26" s="35">
        <f>HYPERLINK("https://bluetooth.atlassian.net/browse/ES-4460",4460)</f>
        <v>4460</v>
      </c>
      <c r="B26" s="36" t="s">
        <v>470</v>
      </c>
      <c r="C26" s="36">
        <v>1.1000000000000001</v>
      </c>
      <c r="D26" s="36" t="s">
        <v>491</v>
      </c>
      <c r="E26" s="116" t="s">
        <v>188</v>
      </c>
      <c r="F26" s="118" t="s">
        <v>1</v>
      </c>
      <c r="G26" s="36"/>
      <c r="H26" s="35"/>
      <c r="I26" s="36"/>
      <c r="J26" s="36"/>
    </row>
    <row r="27" spans="1:10" s="2" customFormat="1" ht="25.9" thickBot="1" x14ac:dyDescent="0.45">
      <c r="A27" s="45">
        <f>HYPERLINK("https://bluetooth.atlassian.net/browse/ES-4479",4479)</f>
        <v>4479</v>
      </c>
      <c r="B27" s="47" t="s">
        <v>470</v>
      </c>
      <c r="C27" s="47">
        <v>1.1000000000000001</v>
      </c>
      <c r="D27" s="47" t="s">
        <v>492</v>
      </c>
      <c r="E27" s="117" t="s">
        <v>188</v>
      </c>
      <c r="F27" s="112" t="s">
        <v>601</v>
      </c>
      <c r="G27" s="115" t="s">
        <v>188</v>
      </c>
      <c r="H27" s="45">
        <f>HYPERLINK("https://bluetooth.atlassian.net/browse/ES-5311",5311)</f>
        <v>5311</v>
      </c>
      <c r="I27" s="119" t="s">
        <v>42</v>
      </c>
      <c r="J27" s="47" t="s">
        <v>656</v>
      </c>
    </row>
    <row r="28" spans="1:10" s="2" customFormat="1" ht="51.4" thickBot="1" x14ac:dyDescent="0.45">
      <c r="A28" s="61">
        <f>HYPERLINK("https://bluetooth.atlassian.net/browse/ES-4856",4856)</f>
        <v>4856</v>
      </c>
      <c r="B28" s="55" t="s">
        <v>470</v>
      </c>
      <c r="C28" s="36">
        <v>1.1000000000000001</v>
      </c>
      <c r="D28" s="55" t="s">
        <v>512</v>
      </c>
      <c r="E28" s="116" t="s">
        <v>188</v>
      </c>
      <c r="F28" s="118" t="s">
        <v>601</v>
      </c>
      <c r="G28" s="36" t="s">
        <v>188</v>
      </c>
      <c r="H28" s="61">
        <f>HYPERLINK("https://bluetooth.atlassian.net/browse/ES-4702",4702)</f>
        <v>4702</v>
      </c>
      <c r="I28" s="36" t="s">
        <v>42</v>
      </c>
      <c r="J28" s="55" t="s">
        <v>513</v>
      </c>
    </row>
    <row r="29" spans="1:10" s="2" customFormat="1" ht="25.9" thickBot="1" x14ac:dyDescent="0.45">
      <c r="A29" s="45">
        <f>HYPERLINK("https://bluetooth.atlassian.net/browse/ES-5192",5192)</f>
        <v>5192</v>
      </c>
      <c r="B29" s="47" t="s">
        <v>470</v>
      </c>
      <c r="C29" s="47">
        <v>1.1000000000000001</v>
      </c>
      <c r="D29" s="47" t="s">
        <v>493</v>
      </c>
      <c r="E29" s="117" t="s">
        <v>188</v>
      </c>
      <c r="F29" s="112" t="s">
        <v>1</v>
      </c>
      <c r="G29" s="115"/>
      <c r="H29" s="45"/>
      <c r="I29" s="119"/>
      <c r="J29" s="47" t="s">
        <v>494</v>
      </c>
    </row>
    <row r="30" spans="1:10" s="2" customFormat="1" ht="27" customHeight="1" thickBot="1" x14ac:dyDescent="0.45">
      <c r="A30" s="61">
        <f>HYPERLINK("https://bluetooth.atlassian.net/browse/ES-6220",6220)</f>
        <v>6220</v>
      </c>
      <c r="B30" s="55" t="s">
        <v>472</v>
      </c>
      <c r="C30" s="55">
        <v>1.2</v>
      </c>
      <c r="D30" s="55" t="s">
        <v>497</v>
      </c>
      <c r="E30" s="116" t="s">
        <v>5</v>
      </c>
      <c r="F30" s="118" t="s">
        <v>1</v>
      </c>
      <c r="G30" s="36"/>
      <c r="H30" s="55"/>
      <c r="I30" s="36"/>
      <c r="J30" s="55"/>
    </row>
    <row r="31" spans="1:10" s="2" customFormat="1" ht="51.4" thickBot="1" x14ac:dyDescent="0.45">
      <c r="A31" s="62">
        <f>HYPERLINK("https://bluetooth.atlassian.net/browse/ES-6492",6492)</f>
        <v>6492</v>
      </c>
      <c r="B31" s="63" t="s">
        <v>472</v>
      </c>
      <c r="C31" s="63">
        <v>1.2</v>
      </c>
      <c r="D31" s="63" t="s">
        <v>495</v>
      </c>
      <c r="E31" s="117" t="s">
        <v>188</v>
      </c>
      <c r="F31" s="112" t="s">
        <v>601</v>
      </c>
      <c r="G31" s="115" t="s">
        <v>188</v>
      </c>
      <c r="H31" s="45">
        <f>HYPERLINK("https://bluetooth.atlassian.net/browse/ES-7559",7559)</f>
        <v>7559</v>
      </c>
      <c r="I31" s="119" t="s">
        <v>42</v>
      </c>
      <c r="J31" s="63" t="s">
        <v>510</v>
      </c>
    </row>
    <row r="32" spans="1:10" s="2" customFormat="1" ht="25.9" thickBot="1" x14ac:dyDescent="0.45">
      <c r="A32" s="61">
        <f>HYPERLINK("https://bluetooth.atlassian.net/browse/ES-6503",6503)</f>
        <v>6503</v>
      </c>
      <c r="B32" s="55" t="s">
        <v>472</v>
      </c>
      <c r="C32" s="55">
        <v>1.2</v>
      </c>
      <c r="D32" s="55" t="s">
        <v>496</v>
      </c>
      <c r="E32" s="116" t="s">
        <v>5</v>
      </c>
      <c r="F32" s="118" t="s">
        <v>1</v>
      </c>
      <c r="G32" s="36"/>
      <c r="H32" s="55"/>
      <c r="I32" s="36"/>
      <c r="J32" s="55"/>
    </row>
    <row r="33" spans="1:10" s="2" customFormat="1" ht="38.65" thickBot="1" x14ac:dyDescent="0.45">
      <c r="A33" s="45">
        <f>HYPERLINK("https://bluetooth.atlassian.net/browse/ES-6819",6819)</f>
        <v>6819</v>
      </c>
      <c r="B33" s="47" t="s">
        <v>472</v>
      </c>
      <c r="C33" s="63">
        <v>1.2</v>
      </c>
      <c r="D33" s="47" t="s">
        <v>498</v>
      </c>
      <c r="E33" s="117" t="s">
        <v>188</v>
      </c>
      <c r="F33" s="112" t="s">
        <v>1</v>
      </c>
      <c r="G33" s="115"/>
      <c r="H33" s="47"/>
      <c r="I33" s="119"/>
      <c r="J33" s="47"/>
    </row>
    <row r="34" spans="1:10" s="2" customFormat="1" ht="25.9" thickBot="1" x14ac:dyDescent="0.45">
      <c r="A34" s="61">
        <f>HYPERLINK("https://bluetooth.atlassian.net/browse/ES-6820",6820)</f>
        <v>6820</v>
      </c>
      <c r="B34" s="55" t="s">
        <v>472</v>
      </c>
      <c r="C34" s="55">
        <v>1.2</v>
      </c>
      <c r="D34" s="55" t="s">
        <v>499</v>
      </c>
      <c r="E34" s="116" t="s">
        <v>5</v>
      </c>
      <c r="F34" s="118" t="s">
        <v>1</v>
      </c>
      <c r="G34" s="36"/>
      <c r="H34" s="61"/>
      <c r="I34" s="36"/>
      <c r="J34" s="55"/>
    </row>
    <row r="35" spans="1:10" s="2" customFormat="1" ht="25.9" thickBot="1" x14ac:dyDescent="0.45">
      <c r="A35" s="45">
        <f>HYPERLINK("https://bluetooth.atlassian.net/browse/ES-6877",6877)</f>
        <v>6877</v>
      </c>
      <c r="B35" s="47" t="s">
        <v>474</v>
      </c>
      <c r="C35" s="47" t="s">
        <v>631</v>
      </c>
      <c r="D35" s="47" t="s">
        <v>500</v>
      </c>
      <c r="E35" s="117" t="s">
        <v>5</v>
      </c>
      <c r="F35" s="112" t="s">
        <v>1</v>
      </c>
      <c r="G35" s="115"/>
      <c r="H35" s="45"/>
      <c r="I35" s="119"/>
      <c r="J35" s="47"/>
    </row>
    <row r="36" spans="1:10" s="2" customFormat="1" ht="25.9" thickBot="1" x14ac:dyDescent="0.45">
      <c r="A36" s="61">
        <f>HYPERLINK("https://bluetooth.atlassian.net/browse/ES-7799",7799)</f>
        <v>7799</v>
      </c>
      <c r="B36" s="55" t="s">
        <v>472</v>
      </c>
      <c r="C36" s="55">
        <v>1.2</v>
      </c>
      <c r="D36" s="55" t="s">
        <v>501</v>
      </c>
      <c r="E36" s="116" t="s">
        <v>188</v>
      </c>
      <c r="F36" s="118" t="s">
        <v>1</v>
      </c>
      <c r="G36" s="36"/>
      <c r="H36" s="61"/>
      <c r="I36" s="36"/>
      <c r="J36" s="55"/>
    </row>
    <row r="37" spans="1:10" s="2" customFormat="1" ht="27" customHeight="1" thickBot="1" x14ac:dyDescent="0.45">
      <c r="A37" s="45">
        <f>HYPERLINK("https://bluetooth.atlassian.net/browse/ES-8539",8539)</f>
        <v>8539</v>
      </c>
      <c r="B37" s="47" t="s">
        <v>474</v>
      </c>
      <c r="C37" s="47" t="s">
        <v>631</v>
      </c>
      <c r="D37" s="47" t="s">
        <v>502</v>
      </c>
      <c r="E37" s="117" t="s">
        <v>188</v>
      </c>
      <c r="F37" s="112" t="s">
        <v>1</v>
      </c>
      <c r="G37" s="115"/>
      <c r="H37" s="45"/>
      <c r="I37" s="119"/>
      <c r="J37" s="47"/>
    </row>
  </sheetData>
  <mergeCells count="15">
    <mergeCell ref="A11:B11"/>
    <mergeCell ref="D7:F7"/>
    <mergeCell ref="D8:F8"/>
    <mergeCell ref="D9:F9"/>
    <mergeCell ref="G7:I7"/>
    <mergeCell ref="G8:I8"/>
    <mergeCell ref="G9:I9"/>
    <mergeCell ref="A2:I2"/>
    <mergeCell ref="A3:I3"/>
    <mergeCell ref="D4:F4"/>
    <mergeCell ref="D5:F5"/>
    <mergeCell ref="D6:F6"/>
    <mergeCell ref="G4:I4"/>
    <mergeCell ref="G5:I5"/>
    <mergeCell ref="G6:I6"/>
  </mergeCells>
  <conditionalFormatting sqref="F14:F37">
    <cfRule type="cellIs" dxfId="5" priority="1" operator="greaterThan">
      <formula>"Yes"</formula>
    </cfRule>
  </conditionalFormatting>
  <dataValidations count="7">
    <dataValidation type="list" allowBlank="1" sqref="I13" xr:uid="{00000000-0002-0000-1500-000000000000}">
      <formula1>#REF!</formula1>
    </dataValidation>
    <dataValidation allowBlank="1" sqref="H14:H37" xr:uid="{A21DB855-3E5A-4238-8293-6FA0ABD4BF0A}"/>
    <dataValidation type="list" allowBlank="1" showInputMessage="1" showErrorMessage="1" sqref="E14:E37" xr:uid="{96DB16A0-1EA8-43EE-8423-511B33CF595E}">
      <formula1>"Editorial,1/Technical Low,2/Technical Medium,3/Technical High,4/Technical Critical,Not Categorized"</formula1>
    </dataValidation>
    <dataValidation type="list" allowBlank="1" sqref="F14:F37" xr:uid="{012C2D6D-5362-4E98-8F35-D5B47EEC4CB6}">
      <formula1>"No,Yes - doesn't need to wait for erratum,Yes - tied to spec change,Not Reviewed"</formula1>
    </dataValidation>
    <dataValidation type="list" allowBlank="1" sqref="F13:H13" xr:uid="{D2C9789B-535A-46F1-9D25-567E43E4704B}">
      <formula1>#REF!</formula1>
    </dataValidation>
    <dataValidation type="list" allowBlank="1" showInputMessage="1" showErrorMessage="1" sqref="G14:G37" xr:uid="{70E76C1A-0971-41B2-AD5C-F359B955BAF7}">
      <formula1>"1,2,3,4,Not Categorized"</formula1>
    </dataValidation>
    <dataValidation type="list" allowBlank="1" sqref="I14:I37" xr:uid="{C3B6890C-6093-4FAD-99A9-06FFBF73FFF1}">
      <formula1>"Open,Approved,Rejected,Released"</formula1>
    </dataValidation>
  </dataValidations>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J10"/>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50.3984375" customWidth="1"/>
  </cols>
  <sheetData>
    <row r="1" spans="1:10" ht="28.5" customHeight="1" thickBot="1" x14ac:dyDescent="0.65">
      <c r="A1" s="19" t="s">
        <v>505</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31.45" customHeight="1" thickBot="1" x14ac:dyDescent="0.5">
      <c r="A4" s="30" t="s">
        <v>8</v>
      </c>
      <c r="B4" s="31" t="s">
        <v>6</v>
      </c>
      <c r="C4" s="30" t="s">
        <v>541</v>
      </c>
      <c r="D4" s="175" t="s">
        <v>9</v>
      </c>
      <c r="E4" s="176"/>
      <c r="F4" s="177"/>
      <c r="G4" s="175" t="s">
        <v>550</v>
      </c>
      <c r="H4" s="176"/>
      <c r="I4" s="177"/>
      <c r="J4" s="3"/>
    </row>
    <row r="5" spans="1:10" s="5" customFormat="1" ht="40.5" customHeight="1" thickBot="1" x14ac:dyDescent="0.5">
      <c r="A5" s="24" t="s">
        <v>506</v>
      </c>
      <c r="B5" s="24">
        <v>41219</v>
      </c>
      <c r="C5" s="26" t="s">
        <v>15</v>
      </c>
      <c r="D5" s="224" t="s">
        <v>507</v>
      </c>
      <c r="E5" s="225"/>
      <c r="F5" s="226"/>
      <c r="G5" s="224" t="s">
        <v>508</v>
      </c>
      <c r="H5" s="225"/>
      <c r="I5" s="226"/>
      <c r="J5" s="3"/>
    </row>
    <row r="6" spans="1:10" s="5" customFormat="1" ht="14.25" x14ac:dyDescent="0.45">
      <c r="A6" s="29"/>
      <c r="B6" s="29"/>
      <c r="C6" s="29"/>
      <c r="D6" s="29"/>
      <c r="E6" s="29"/>
      <c r="F6" s="29"/>
      <c r="G6" s="29"/>
      <c r="H6" s="29"/>
      <c r="I6" s="29"/>
      <c r="J6" s="3"/>
    </row>
    <row r="7" spans="1:10" ht="21" customHeight="1" x14ac:dyDescent="0.4">
      <c r="A7" s="166" t="s">
        <v>7</v>
      </c>
      <c r="B7" s="166"/>
      <c r="C7" s="27"/>
      <c r="D7" s="3"/>
      <c r="E7" s="3"/>
      <c r="F7" s="28"/>
      <c r="G7" s="28"/>
      <c r="H7" s="28"/>
      <c r="I7" s="28"/>
      <c r="J7" s="3"/>
    </row>
    <row r="8" spans="1:10" ht="21" customHeight="1" thickBot="1" x14ac:dyDescent="0.45">
      <c r="A8" s="132" t="s">
        <v>660</v>
      </c>
      <c r="B8" s="133"/>
      <c r="C8" s="134"/>
      <c r="D8" s="132"/>
      <c r="E8" s="135"/>
      <c r="F8" s="136"/>
      <c r="G8" s="136"/>
      <c r="H8" s="136"/>
      <c r="I8" s="136"/>
      <c r="J8" s="3"/>
    </row>
    <row r="9" spans="1:10" s="2" customFormat="1" ht="26.65" thickBot="1" x14ac:dyDescent="0.45">
      <c r="A9" s="32" t="s">
        <v>208</v>
      </c>
      <c r="B9" s="32" t="s">
        <v>661</v>
      </c>
      <c r="C9" s="32" t="s">
        <v>605</v>
      </c>
      <c r="D9" s="33" t="s">
        <v>263</v>
      </c>
      <c r="E9" s="33" t="s">
        <v>662</v>
      </c>
      <c r="F9" s="34" t="s">
        <v>0</v>
      </c>
      <c r="G9" s="33" t="s">
        <v>663</v>
      </c>
      <c r="H9" s="34" t="s">
        <v>664</v>
      </c>
      <c r="I9" s="34" t="s">
        <v>3</v>
      </c>
      <c r="J9" s="33" t="s">
        <v>2</v>
      </c>
    </row>
    <row r="10" spans="1:10" s="2" customFormat="1" ht="13.5" thickBot="1" x14ac:dyDescent="0.45">
      <c r="A10" s="35">
        <f>HYPERLINK("https://bluetooth.atlassian.net/browse/ES-364",364)</f>
        <v>364</v>
      </c>
      <c r="B10" s="36" t="s">
        <v>632</v>
      </c>
      <c r="C10" s="36">
        <v>1.1000000000000001</v>
      </c>
      <c r="D10" s="57" t="s">
        <v>509</v>
      </c>
      <c r="E10" s="116" t="s">
        <v>5</v>
      </c>
      <c r="F10" s="118" t="s">
        <v>1</v>
      </c>
      <c r="G10" s="36"/>
      <c r="H10" s="35"/>
      <c r="I10" s="36"/>
      <c r="J10" s="36" t="s">
        <v>657</v>
      </c>
    </row>
  </sheetData>
  <mergeCells count="7">
    <mergeCell ref="A7:B7"/>
    <mergeCell ref="D4:F4"/>
    <mergeCell ref="D5:F5"/>
    <mergeCell ref="A2:I2"/>
    <mergeCell ref="A3:I3"/>
    <mergeCell ref="G4:I4"/>
    <mergeCell ref="G5:I5"/>
  </mergeCells>
  <conditionalFormatting sqref="F10">
    <cfRule type="cellIs" dxfId="4" priority="1" operator="greaterThan">
      <formula>"Yes"</formula>
    </cfRule>
  </conditionalFormatting>
  <dataValidations count="6">
    <dataValidation type="list" allowBlank="1" sqref="I9" xr:uid="{00000000-0002-0000-1600-000000000000}">
      <formula1>#REF!</formula1>
    </dataValidation>
    <dataValidation type="list" allowBlank="1" sqref="F9:H9" xr:uid="{A88987DA-80A4-4598-ABFC-B46E2CAAF222}">
      <formula1>#REF!</formula1>
    </dataValidation>
    <dataValidation type="list" allowBlank="1" sqref="F10" xr:uid="{B16CB8A0-7D79-434E-A3EB-947BA92FB70D}">
      <formula1>"No,Yes - doesn't need to wait for erratum,Yes - tied to spec change,Not Reviewed"</formula1>
    </dataValidation>
    <dataValidation type="list" allowBlank="1" showInputMessage="1" showErrorMessage="1" sqref="E10" xr:uid="{0A7989D5-89EF-4E78-80F5-9C980372AAFC}">
      <formula1>"Editorial,1/Technical Low,2/Technical Medium,3/Technical High,4/Technical Critical,Not Categorized"</formula1>
    </dataValidation>
    <dataValidation type="list" allowBlank="1" showInputMessage="1" showErrorMessage="1" sqref="G10" xr:uid="{0D832B65-EE7A-4B6F-B8C8-14B3981E4CE1}">
      <formula1>"1,2,3,4,Not Categorized"</formula1>
    </dataValidation>
    <dataValidation type="list" allowBlank="1" sqref="I10" xr:uid="{6D664AEA-B2A2-4E2F-AD2A-893B75912C2F}">
      <formula1>"Open,Approved,Rejected,Released"</formula1>
    </dataValidation>
  </dataValidations>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J12"/>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50.53125" customWidth="1"/>
  </cols>
  <sheetData>
    <row r="1" spans="1:10" ht="28.5" customHeight="1" thickBot="1" x14ac:dyDescent="0.65">
      <c r="A1" s="19" t="s">
        <v>514</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32.200000000000003" customHeight="1" thickBot="1" x14ac:dyDescent="0.5">
      <c r="A4" s="30" t="s">
        <v>8</v>
      </c>
      <c r="B4" s="31" t="s">
        <v>6</v>
      </c>
      <c r="C4" s="30" t="s">
        <v>541</v>
      </c>
      <c r="D4" s="175" t="s">
        <v>9</v>
      </c>
      <c r="E4" s="176"/>
      <c r="F4" s="177"/>
      <c r="G4" s="175" t="s">
        <v>550</v>
      </c>
      <c r="H4" s="176"/>
      <c r="I4" s="177"/>
      <c r="J4" s="3"/>
    </row>
    <row r="5" spans="1:10" s="65" customFormat="1" ht="25.5" customHeight="1" thickBot="1" x14ac:dyDescent="0.4">
      <c r="A5" s="64" t="s">
        <v>515</v>
      </c>
      <c r="B5" s="64">
        <v>39800</v>
      </c>
      <c r="C5" s="96" t="s">
        <v>556</v>
      </c>
      <c r="D5" s="221" t="s">
        <v>519</v>
      </c>
      <c r="E5" s="222"/>
      <c r="F5" s="223"/>
      <c r="G5" s="221" t="s">
        <v>518</v>
      </c>
      <c r="H5" s="222"/>
      <c r="I5" s="223"/>
      <c r="J5" s="3"/>
    </row>
    <row r="6" spans="1:10" s="65" customFormat="1" ht="13.5" customHeight="1" thickBot="1" x14ac:dyDescent="0.4">
      <c r="A6" s="64" t="s">
        <v>516</v>
      </c>
      <c r="B6" s="64">
        <v>42353</v>
      </c>
      <c r="C6" s="69" t="s">
        <v>15</v>
      </c>
      <c r="D6" s="221" t="s">
        <v>517</v>
      </c>
      <c r="E6" s="222"/>
      <c r="F6" s="223"/>
      <c r="G6" s="172" t="s">
        <v>92</v>
      </c>
      <c r="H6" s="173"/>
      <c r="I6" s="174"/>
      <c r="J6" s="3"/>
    </row>
    <row r="7" spans="1:10" s="5" customFormat="1" ht="14.25" x14ac:dyDescent="0.45">
      <c r="A7" s="29"/>
      <c r="B7" s="29"/>
      <c r="C7" s="29"/>
      <c r="D7" s="29"/>
      <c r="E7" s="29"/>
      <c r="F7" s="29"/>
      <c r="G7" s="29"/>
      <c r="H7" s="29"/>
      <c r="I7" s="29"/>
      <c r="J7" s="3"/>
    </row>
    <row r="8" spans="1:10" ht="21" customHeight="1" x14ac:dyDescent="0.4">
      <c r="A8" s="187" t="s">
        <v>7</v>
      </c>
      <c r="B8" s="187"/>
      <c r="C8" s="134"/>
      <c r="D8" s="135"/>
      <c r="E8" s="135"/>
      <c r="F8" s="136"/>
      <c r="G8" s="136"/>
      <c r="H8" s="136"/>
      <c r="I8" s="136"/>
      <c r="J8" s="3"/>
    </row>
    <row r="9" spans="1:10" ht="21" customHeight="1" thickBot="1" x14ac:dyDescent="0.45">
      <c r="A9" s="132" t="s">
        <v>660</v>
      </c>
      <c r="B9" s="133"/>
      <c r="C9" s="134"/>
      <c r="D9" s="132"/>
      <c r="E9" s="135"/>
      <c r="F9" s="136"/>
      <c r="G9" s="136"/>
      <c r="H9" s="136"/>
      <c r="I9" s="136"/>
      <c r="J9" s="3"/>
    </row>
    <row r="10" spans="1:10" s="2" customFormat="1" ht="26.65" thickBot="1" x14ac:dyDescent="0.45">
      <c r="A10" s="32" t="s">
        <v>208</v>
      </c>
      <c r="B10" s="32" t="s">
        <v>661</v>
      </c>
      <c r="C10" s="32" t="s">
        <v>605</v>
      </c>
      <c r="D10" s="33" t="s">
        <v>263</v>
      </c>
      <c r="E10" s="33" t="s">
        <v>662</v>
      </c>
      <c r="F10" s="34" t="s">
        <v>0</v>
      </c>
      <c r="G10" s="33" t="s">
        <v>663</v>
      </c>
      <c r="H10" s="34" t="s">
        <v>664</v>
      </c>
      <c r="I10" s="34" t="s">
        <v>3</v>
      </c>
      <c r="J10" s="33" t="s">
        <v>2</v>
      </c>
    </row>
    <row r="11" spans="1:10" s="2" customFormat="1" ht="25.9" thickBot="1" x14ac:dyDescent="0.45">
      <c r="A11" s="35">
        <f>HYPERLINK("https://bluetooth.atlassian.net/browse/ES-2564",2564)</f>
        <v>2564</v>
      </c>
      <c r="B11" s="36" t="s">
        <v>633</v>
      </c>
      <c r="C11" s="123">
        <v>1</v>
      </c>
      <c r="D11" s="57" t="s">
        <v>520</v>
      </c>
      <c r="E11" s="116" t="s">
        <v>188</v>
      </c>
      <c r="F11" s="118" t="s">
        <v>1</v>
      </c>
      <c r="G11" s="36"/>
      <c r="H11" s="35"/>
      <c r="I11" s="36"/>
      <c r="J11" s="36"/>
    </row>
    <row r="12" spans="1:10" s="2" customFormat="1" ht="25.9" thickBot="1" x14ac:dyDescent="0.45">
      <c r="A12" s="45">
        <f>HYPERLINK("https://bluetooth.atlassian.net/browse/ES-5659",5659)</f>
        <v>5659</v>
      </c>
      <c r="B12" s="47" t="s">
        <v>633</v>
      </c>
      <c r="C12" s="47">
        <v>1.1000000000000001</v>
      </c>
      <c r="D12" s="47" t="s">
        <v>521</v>
      </c>
      <c r="E12" s="117" t="s">
        <v>188</v>
      </c>
      <c r="F12" s="112" t="s">
        <v>1</v>
      </c>
      <c r="G12" s="115"/>
      <c r="H12" s="46"/>
      <c r="I12" s="119"/>
      <c r="J12" s="47"/>
    </row>
  </sheetData>
  <mergeCells count="9">
    <mergeCell ref="A2:I2"/>
    <mergeCell ref="A3:I3"/>
    <mergeCell ref="A8:B8"/>
    <mergeCell ref="D4:F4"/>
    <mergeCell ref="D5:F5"/>
    <mergeCell ref="D6:F6"/>
    <mergeCell ref="G4:I4"/>
    <mergeCell ref="G5:I5"/>
    <mergeCell ref="G6:I6"/>
  </mergeCells>
  <conditionalFormatting sqref="F11:F12">
    <cfRule type="cellIs" dxfId="3" priority="1" operator="greaterThan">
      <formula>"Yes"</formula>
    </cfRule>
  </conditionalFormatting>
  <dataValidations count="6">
    <dataValidation type="list" allowBlank="1" sqref="I10" xr:uid="{00000000-0002-0000-1700-000000000000}">
      <formula1>#REF!</formula1>
    </dataValidation>
    <dataValidation type="list" allowBlank="1" sqref="F10:H10" xr:uid="{2516E2F4-54C2-4A4C-9887-F6330E635A5C}">
      <formula1>#REF!</formula1>
    </dataValidation>
    <dataValidation type="list" allowBlank="1" sqref="I11:I12" xr:uid="{74EC6387-B9EE-4A98-8913-44A57C485936}">
      <formula1>"Open,Approved,Rejected,Released"</formula1>
    </dataValidation>
    <dataValidation type="list" allowBlank="1" showInputMessage="1" showErrorMessage="1" sqref="G11:G12" xr:uid="{C8E297A5-8646-4AAE-8E26-C25EED16D66C}">
      <formula1>"1,2,3,4,Not Categorized"</formula1>
    </dataValidation>
    <dataValidation type="list" allowBlank="1" sqref="F11:F12" xr:uid="{E1792D73-21C4-49FB-88D0-3DCA679D9A9A}">
      <formula1>"No,Yes - doesn't need to wait for erratum,Yes - tied to spec change,Not Reviewed"</formula1>
    </dataValidation>
    <dataValidation type="list" allowBlank="1" showInputMessage="1" showErrorMessage="1" sqref="E11:E12" xr:uid="{715AE4C1-F331-4191-B063-9B34108DA7B7}">
      <formula1>"Editorial,1/Technical Low,2/Technical Medium,3/Technical High,4/Technical Critical,Not Categorized"</formula1>
    </dataValidation>
  </dataValidations>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outlinePr summaryBelow="0" summaryRight="0"/>
  </sheetPr>
  <dimension ref="A1:J10"/>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50.3984375" customWidth="1"/>
  </cols>
  <sheetData>
    <row r="1" spans="1:10" ht="28.5" customHeight="1" thickBot="1" x14ac:dyDescent="0.65">
      <c r="A1" s="19" t="s">
        <v>544</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32.450000000000003" customHeight="1" thickBot="1" x14ac:dyDescent="0.5">
      <c r="A4" s="30" t="s">
        <v>8</v>
      </c>
      <c r="B4" s="31" t="s">
        <v>6</v>
      </c>
      <c r="C4" s="30" t="s">
        <v>541</v>
      </c>
      <c r="D4" s="175" t="s">
        <v>9</v>
      </c>
      <c r="E4" s="176"/>
      <c r="F4" s="177"/>
      <c r="G4" s="175" t="s">
        <v>550</v>
      </c>
      <c r="H4" s="176"/>
      <c r="I4" s="177"/>
      <c r="J4" s="3"/>
    </row>
    <row r="5" spans="1:10" s="5" customFormat="1" ht="15.75" customHeight="1" thickBot="1" x14ac:dyDescent="0.5">
      <c r="A5" s="24" t="s">
        <v>542</v>
      </c>
      <c r="B5" s="24">
        <v>41114</v>
      </c>
      <c r="C5" s="26" t="s">
        <v>15</v>
      </c>
      <c r="D5" s="224" t="s">
        <v>634</v>
      </c>
      <c r="E5" s="225"/>
      <c r="F5" s="226"/>
      <c r="G5" s="224" t="s">
        <v>543</v>
      </c>
      <c r="H5" s="225"/>
      <c r="I5" s="226"/>
      <c r="J5" s="3"/>
    </row>
    <row r="6" spans="1:10" s="5" customFormat="1" ht="14.25" x14ac:dyDescent="0.45">
      <c r="A6" s="137"/>
      <c r="B6" s="137"/>
      <c r="C6" s="137"/>
      <c r="D6" s="137"/>
      <c r="E6" s="137"/>
      <c r="F6" s="137"/>
      <c r="G6" s="137"/>
      <c r="H6" s="137"/>
      <c r="I6" s="137"/>
      <c r="J6" s="3"/>
    </row>
    <row r="7" spans="1:10" ht="21" customHeight="1" x14ac:dyDescent="0.4">
      <c r="A7" s="187" t="s">
        <v>7</v>
      </c>
      <c r="B7" s="187"/>
      <c r="C7" s="134"/>
      <c r="D7" s="135"/>
      <c r="E7" s="135"/>
      <c r="F7" s="136"/>
      <c r="G7" s="136"/>
      <c r="H7" s="136"/>
      <c r="I7" s="136"/>
      <c r="J7" s="3"/>
    </row>
    <row r="8" spans="1:10" ht="21" customHeight="1" thickBot="1" x14ac:dyDescent="0.45">
      <c r="A8" s="132" t="s">
        <v>660</v>
      </c>
      <c r="B8" s="133"/>
      <c r="C8" s="134"/>
      <c r="D8" s="132"/>
      <c r="E8" s="135"/>
      <c r="F8" s="136"/>
      <c r="G8" s="136"/>
      <c r="H8" s="136"/>
      <c r="I8" s="136"/>
      <c r="J8" s="3"/>
    </row>
    <row r="9" spans="1:10" s="2" customFormat="1" ht="26.65" thickBot="1" x14ac:dyDescent="0.45">
      <c r="A9" s="32" t="s">
        <v>208</v>
      </c>
      <c r="B9" s="32" t="s">
        <v>661</v>
      </c>
      <c r="C9" s="32" t="s">
        <v>605</v>
      </c>
      <c r="D9" s="33" t="s">
        <v>263</v>
      </c>
      <c r="E9" s="33" t="s">
        <v>662</v>
      </c>
      <c r="F9" s="34" t="s">
        <v>0</v>
      </c>
      <c r="G9" s="33" t="s">
        <v>663</v>
      </c>
      <c r="H9" s="34" t="s">
        <v>664</v>
      </c>
      <c r="I9" s="34" t="s">
        <v>3</v>
      </c>
      <c r="J9" s="33" t="s">
        <v>2</v>
      </c>
    </row>
    <row r="10" spans="1:10" s="2" customFormat="1" ht="25.9" thickBot="1" x14ac:dyDescent="0.45">
      <c r="A10" s="35">
        <f>HYPERLINK("https://bluetooth.atlassian.net/browse/ES-386",386)</f>
        <v>386</v>
      </c>
      <c r="B10" s="36" t="s">
        <v>635</v>
      </c>
      <c r="C10" s="36">
        <v>1.1000000000000001</v>
      </c>
      <c r="D10" s="57" t="s">
        <v>545</v>
      </c>
      <c r="E10" s="116" t="s">
        <v>188</v>
      </c>
      <c r="F10" s="118" t="s">
        <v>1</v>
      </c>
      <c r="G10" s="36"/>
      <c r="H10" s="35"/>
      <c r="I10" s="36"/>
      <c r="J10" s="36"/>
    </row>
  </sheetData>
  <mergeCells count="7">
    <mergeCell ref="A2:I2"/>
    <mergeCell ref="A3:I3"/>
    <mergeCell ref="A7:B7"/>
    <mergeCell ref="D4:F4"/>
    <mergeCell ref="D5:F5"/>
    <mergeCell ref="G4:I4"/>
    <mergeCell ref="G5:I5"/>
  </mergeCells>
  <conditionalFormatting sqref="F10">
    <cfRule type="cellIs" dxfId="2" priority="1" operator="greaterThan">
      <formula>"Yes"</formula>
    </cfRule>
  </conditionalFormatting>
  <dataValidations count="6">
    <dataValidation type="list" allowBlank="1" sqref="I9" xr:uid="{AA617E59-398E-42A4-A3C0-CCBE0E9E0AD9}">
      <formula1>#REF!</formula1>
    </dataValidation>
    <dataValidation type="list" allowBlank="1" showInputMessage="1" showErrorMessage="1" sqref="E10" xr:uid="{E5C5BCED-2C53-4AD4-9C4B-985703B92E2E}">
      <formula1>"Editorial,1/Technical Low,2/Technical Medium,3/Technical High,4/Technical Critical,Not Categorized"</formula1>
    </dataValidation>
    <dataValidation type="list" allowBlank="1" sqref="F10" xr:uid="{C9458D40-86E0-464E-B729-7956604CAA21}">
      <formula1>"No,Yes - doesn't need to wait for erratum,Yes - tied to spec change,Not Reviewed"</formula1>
    </dataValidation>
    <dataValidation type="list" allowBlank="1" showInputMessage="1" showErrorMessage="1" sqref="G10" xr:uid="{789EE093-4DE6-429F-86D2-728AAFD72CDA}">
      <formula1>"1,2,3,4,Not Categorized"</formula1>
    </dataValidation>
    <dataValidation type="list" allowBlank="1" sqref="I10" xr:uid="{E57C1BF8-CEB4-4434-865A-B9662147A993}">
      <formula1>"Open,Approved,Rejected,Released"</formula1>
    </dataValidation>
    <dataValidation type="list" allowBlank="1" sqref="F9:H9" xr:uid="{7DB6F0C2-A060-4827-A747-8F8441DA9BCB}">
      <formula1>#REF!</formula1>
    </dataValidation>
  </dataValidations>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outlinePr summaryBelow="0" summaryRight="0"/>
  </sheetPr>
  <dimension ref="A1:J12"/>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9.265625" customWidth="1"/>
  </cols>
  <sheetData>
    <row r="1" spans="1:10" ht="28.5" customHeight="1" thickBot="1" x14ac:dyDescent="0.65">
      <c r="A1" s="19" t="s">
        <v>526</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33.700000000000003" customHeight="1" thickBot="1" x14ac:dyDescent="0.5">
      <c r="A4" s="30" t="s">
        <v>8</v>
      </c>
      <c r="B4" s="31" t="s">
        <v>6</v>
      </c>
      <c r="C4" s="30" t="s">
        <v>541</v>
      </c>
      <c r="D4" s="175" t="s">
        <v>9</v>
      </c>
      <c r="E4" s="176"/>
      <c r="F4" s="177"/>
      <c r="G4" s="175" t="s">
        <v>550</v>
      </c>
      <c r="H4" s="176"/>
      <c r="I4" s="177"/>
      <c r="J4" s="3"/>
    </row>
    <row r="5" spans="1:10" s="65" customFormat="1" ht="27" customHeight="1" thickBot="1" x14ac:dyDescent="0.4">
      <c r="A5" s="64" t="s">
        <v>522</v>
      </c>
      <c r="B5" s="64">
        <v>41114</v>
      </c>
      <c r="C5" s="96" t="s">
        <v>556</v>
      </c>
      <c r="D5" s="221" t="s">
        <v>525</v>
      </c>
      <c r="E5" s="222"/>
      <c r="F5" s="223"/>
      <c r="G5" s="221" t="s">
        <v>518</v>
      </c>
      <c r="H5" s="222"/>
      <c r="I5" s="223"/>
      <c r="J5" s="3"/>
    </row>
    <row r="6" spans="1:10" s="65" customFormat="1" ht="13.5" customHeight="1" thickBot="1" x14ac:dyDescent="0.4">
      <c r="A6" s="64" t="s">
        <v>527</v>
      </c>
      <c r="B6" s="64">
        <v>42353</v>
      </c>
      <c r="C6" s="69" t="s">
        <v>15</v>
      </c>
      <c r="D6" s="221" t="s">
        <v>523</v>
      </c>
      <c r="E6" s="222"/>
      <c r="F6" s="223"/>
      <c r="G6" s="172" t="s">
        <v>92</v>
      </c>
      <c r="H6" s="173"/>
      <c r="I6" s="174"/>
      <c r="J6" s="3"/>
    </row>
    <row r="7" spans="1:10" s="5" customFormat="1" ht="14.25" x14ac:dyDescent="0.45">
      <c r="A7" s="137"/>
      <c r="B7" s="137"/>
      <c r="C7" s="137"/>
      <c r="D7" s="137"/>
      <c r="E7" s="137"/>
      <c r="F7" s="137"/>
      <c r="G7" s="137"/>
      <c r="H7" s="137"/>
      <c r="I7" s="137"/>
      <c r="J7" s="3"/>
    </row>
    <row r="8" spans="1:10" ht="21" customHeight="1" x14ac:dyDescent="0.4">
      <c r="A8" s="187" t="s">
        <v>7</v>
      </c>
      <c r="B8" s="187"/>
      <c r="C8" s="134"/>
      <c r="D8" s="135"/>
      <c r="E8" s="135"/>
      <c r="F8" s="136"/>
      <c r="G8" s="136"/>
      <c r="H8" s="136"/>
      <c r="I8" s="136"/>
      <c r="J8" s="3"/>
    </row>
    <row r="9" spans="1:10" ht="21" customHeight="1" thickBot="1" x14ac:dyDescent="0.45">
      <c r="A9" s="132" t="s">
        <v>660</v>
      </c>
      <c r="B9" s="133"/>
      <c r="C9" s="134"/>
      <c r="D9" s="132"/>
      <c r="E9" s="135"/>
      <c r="F9" s="136"/>
      <c r="G9" s="136"/>
      <c r="H9" s="136"/>
      <c r="I9" s="136"/>
      <c r="J9" s="3"/>
    </row>
    <row r="10" spans="1:10" s="2" customFormat="1" ht="26.65" thickBot="1" x14ac:dyDescent="0.45">
      <c r="A10" s="32" t="s">
        <v>208</v>
      </c>
      <c r="B10" s="32" t="s">
        <v>661</v>
      </c>
      <c r="C10" s="32" t="s">
        <v>605</v>
      </c>
      <c r="D10" s="33" t="s">
        <v>263</v>
      </c>
      <c r="E10" s="33" t="s">
        <v>662</v>
      </c>
      <c r="F10" s="34" t="s">
        <v>0</v>
      </c>
      <c r="G10" s="33" t="s">
        <v>663</v>
      </c>
      <c r="H10" s="34" t="s">
        <v>664</v>
      </c>
      <c r="I10" s="34" t="s">
        <v>3</v>
      </c>
      <c r="J10" s="33" t="s">
        <v>2</v>
      </c>
    </row>
    <row r="11" spans="1:10" s="2" customFormat="1" ht="25.9" thickBot="1" x14ac:dyDescent="0.45">
      <c r="A11" s="35">
        <f>HYPERLINK("https://bluetooth.atlassian.net/browse/ES-260",260)</f>
        <v>260</v>
      </c>
      <c r="B11" s="36" t="s">
        <v>636</v>
      </c>
      <c r="C11" s="36">
        <v>1.2</v>
      </c>
      <c r="D11" s="57" t="s">
        <v>524</v>
      </c>
      <c r="E11" s="116" t="s">
        <v>188</v>
      </c>
      <c r="F11" s="118" t="s">
        <v>1</v>
      </c>
      <c r="G11" s="36"/>
      <c r="H11" s="35"/>
      <c r="I11" s="36"/>
      <c r="J11" s="36"/>
    </row>
    <row r="12" spans="1:10" s="2" customFormat="1" ht="25.9" thickBot="1" x14ac:dyDescent="0.45">
      <c r="A12" s="45">
        <f>HYPERLINK("https://bluetooth.atlassian.net/browse/ES-3085",3085)</f>
        <v>3085</v>
      </c>
      <c r="B12" s="47" t="s">
        <v>630</v>
      </c>
      <c r="C12" s="47">
        <v>1.1000000000000001</v>
      </c>
      <c r="D12" s="47" t="s">
        <v>198</v>
      </c>
      <c r="E12" s="117" t="s">
        <v>188</v>
      </c>
      <c r="F12" s="112" t="s">
        <v>1</v>
      </c>
      <c r="G12" s="47"/>
      <c r="H12" s="45"/>
      <c r="I12" s="47"/>
      <c r="J12" s="38" t="s">
        <v>199</v>
      </c>
    </row>
  </sheetData>
  <mergeCells count="9">
    <mergeCell ref="A8:B8"/>
    <mergeCell ref="D4:F4"/>
    <mergeCell ref="D5:F5"/>
    <mergeCell ref="D6:F6"/>
    <mergeCell ref="A2:I2"/>
    <mergeCell ref="A3:I3"/>
    <mergeCell ref="G4:I4"/>
    <mergeCell ref="G5:I5"/>
    <mergeCell ref="G6:I6"/>
  </mergeCells>
  <conditionalFormatting sqref="F11:F12">
    <cfRule type="cellIs" dxfId="1" priority="1" operator="greaterThan">
      <formula>"Yes"</formula>
    </cfRule>
  </conditionalFormatting>
  <dataValidations count="6">
    <dataValidation type="list" allowBlank="1" sqref="I10" xr:uid="{00000000-0002-0000-1900-000000000000}">
      <formula1>#REF!</formula1>
    </dataValidation>
    <dataValidation type="list" allowBlank="1" sqref="F10:H10" xr:uid="{700EF4C5-015A-44B0-8D13-E4384BCEA786}">
      <formula1>#REF!</formula1>
    </dataValidation>
    <dataValidation type="list" allowBlank="1" sqref="I11:I12" xr:uid="{79AB4A35-3614-410F-BE83-F48189C1902E}">
      <formula1>"Open,Approved,Rejected,Released"</formula1>
    </dataValidation>
    <dataValidation type="list" allowBlank="1" showInputMessage="1" showErrorMessage="1" sqref="G11:G12" xr:uid="{D2B928C3-F3D5-45F4-B35F-4D07B90709FB}">
      <formula1>"1,2,3,4,Not Categorized"</formula1>
    </dataValidation>
    <dataValidation type="list" allowBlank="1" sqref="F11:F12" xr:uid="{42CDD353-3934-4106-9339-AB424442B621}">
      <formula1>"No,Yes - doesn't need to wait for erratum,Yes - tied to spec change,Not Reviewed"</formula1>
    </dataValidation>
    <dataValidation type="list" allowBlank="1" showInputMessage="1" showErrorMessage="1" sqref="E11:E12" xr:uid="{490AF99B-A25C-461D-849E-901470B73604}">
      <formula1>"Editorial,1/Technical Low,2/Technical Medium,3/Technical High,4/Technical Critical,Not Categorized"</formula1>
    </dataValidation>
  </dataValidations>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outlinePr summaryBelow="0" summaryRight="0"/>
  </sheetPr>
  <dimension ref="A1:J10"/>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8.53125" customWidth="1"/>
  </cols>
  <sheetData>
    <row r="1" spans="1:10" ht="28.5" customHeight="1" thickBot="1" x14ac:dyDescent="0.65">
      <c r="A1" s="19" t="s">
        <v>528</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29.95" customHeight="1" thickBot="1" x14ac:dyDescent="0.5">
      <c r="A4" s="30" t="s">
        <v>8</v>
      </c>
      <c r="B4" s="31" t="s">
        <v>6</v>
      </c>
      <c r="C4" s="30" t="s">
        <v>541</v>
      </c>
      <c r="D4" s="175" t="s">
        <v>9</v>
      </c>
      <c r="E4" s="176"/>
      <c r="F4" s="177"/>
      <c r="G4" s="175" t="s">
        <v>550</v>
      </c>
      <c r="H4" s="176"/>
      <c r="I4" s="177"/>
      <c r="J4" s="3"/>
    </row>
    <row r="5" spans="1:10" s="5" customFormat="1" ht="67.7" customHeight="1" thickBot="1" x14ac:dyDescent="0.5">
      <c r="A5" s="24" t="s">
        <v>529</v>
      </c>
      <c r="B5" s="24">
        <v>41114</v>
      </c>
      <c r="C5" s="26" t="s">
        <v>15</v>
      </c>
      <c r="D5" s="224" t="s">
        <v>530</v>
      </c>
      <c r="E5" s="225"/>
      <c r="F5" s="226"/>
      <c r="G5" s="181" t="s">
        <v>531</v>
      </c>
      <c r="H5" s="182"/>
      <c r="I5" s="183"/>
      <c r="J5" s="3"/>
    </row>
    <row r="6" spans="1:10" s="5" customFormat="1" ht="14.25" x14ac:dyDescent="0.45">
      <c r="A6" s="137"/>
      <c r="B6" s="137"/>
      <c r="C6" s="137"/>
      <c r="D6" s="137"/>
      <c r="E6" s="137"/>
      <c r="F6" s="137"/>
      <c r="G6" s="137"/>
      <c r="H6" s="137"/>
      <c r="I6" s="137"/>
      <c r="J6" s="3"/>
    </row>
    <row r="7" spans="1:10" ht="21" customHeight="1" x14ac:dyDescent="0.4">
      <c r="A7" s="187" t="s">
        <v>7</v>
      </c>
      <c r="B7" s="187"/>
      <c r="C7" s="134"/>
      <c r="D7" s="135"/>
      <c r="E7" s="135"/>
      <c r="F7" s="136"/>
      <c r="G7" s="136"/>
      <c r="H7" s="136"/>
      <c r="I7" s="136"/>
      <c r="J7" s="3"/>
    </row>
    <row r="8" spans="1:10" ht="21" customHeight="1" thickBot="1" x14ac:dyDescent="0.45">
      <c r="A8" s="132" t="s">
        <v>660</v>
      </c>
      <c r="B8" s="133"/>
      <c r="C8" s="134"/>
      <c r="D8" s="132"/>
      <c r="E8" s="135"/>
      <c r="F8" s="136"/>
      <c r="G8" s="136"/>
      <c r="H8" s="136"/>
      <c r="I8" s="136"/>
      <c r="J8" s="3"/>
    </row>
    <row r="9" spans="1:10" s="2" customFormat="1" ht="26.65" thickBot="1" x14ac:dyDescent="0.45">
      <c r="A9" s="32" t="s">
        <v>208</v>
      </c>
      <c r="B9" s="32" t="s">
        <v>661</v>
      </c>
      <c r="C9" s="32" t="s">
        <v>605</v>
      </c>
      <c r="D9" s="33" t="s">
        <v>263</v>
      </c>
      <c r="E9" s="33" t="s">
        <v>662</v>
      </c>
      <c r="F9" s="34" t="s">
        <v>0</v>
      </c>
      <c r="G9" s="33" t="s">
        <v>663</v>
      </c>
      <c r="H9" s="34" t="s">
        <v>664</v>
      </c>
      <c r="I9" s="34" t="s">
        <v>3</v>
      </c>
      <c r="J9" s="33" t="s">
        <v>2</v>
      </c>
    </row>
    <row r="10" spans="1:10" s="2" customFormat="1" ht="25.9" thickBot="1" x14ac:dyDescent="0.45">
      <c r="A10" s="35">
        <f>HYPERLINK("https://bluetooth.atlassian.net/browse/ES-4071",4071)</f>
        <v>4071</v>
      </c>
      <c r="B10" s="36" t="s">
        <v>637</v>
      </c>
      <c r="C10" s="123">
        <v>1</v>
      </c>
      <c r="D10" s="57" t="s">
        <v>532</v>
      </c>
      <c r="E10" s="116" t="s">
        <v>188</v>
      </c>
      <c r="F10" s="118" t="s">
        <v>1</v>
      </c>
      <c r="G10" s="36"/>
      <c r="H10" s="35"/>
      <c r="I10" s="36"/>
      <c r="J10" s="36"/>
    </row>
  </sheetData>
  <mergeCells count="7">
    <mergeCell ref="A7:B7"/>
    <mergeCell ref="D4:F4"/>
    <mergeCell ref="D5:F5"/>
    <mergeCell ref="A2:I2"/>
    <mergeCell ref="A3:I3"/>
    <mergeCell ref="G4:I4"/>
    <mergeCell ref="G5:I5"/>
  </mergeCells>
  <conditionalFormatting sqref="F10">
    <cfRule type="cellIs" dxfId="0" priority="1" operator="greaterThan">
      <formula>"Yes"</formula>
    </cfRule>
  </conditionalFormatting>
  <dataValidations count="6">
    <dataValidation type="list" allowBlank="1" sqref="I9" xr:uid="{00000000-0002-0000-1A00-000000000000}">
      <formula1>#REF!</formula1>
    </dataValidation>
    <dataValidation type="list" allowBlank="1" sqref="F9:H9" xr:uid="{57F7C2CE-ED41-4E56-98AF-1D4256F04FED}">
      <formula1>#REF!</formula1>
    </dataValidation>
    <dataValidation type="list" allowBlank="1" showInputMessage="1" showErrorMessage="1" sqref="E10" xr:uid="{EC33E876-5EB3-4F7D-997B-97E0F440D412}">
      <formula1>"Editorial,1/Technical Low,2/Technical Medium,3/Technical High,4/Technical Critical,Not Categorized"</formula1>
    </dataValidation>
    <dataValidation type="list" allowBlank="1" sqref="F10" xr:uid="{2C9171CE-F076-4BB4-8BB6-E44D15682FD3}">
      <formula1>"No,Yes - doesn't need to wait for erratum,Yes - tied to spec change,Not Reviewed"</formula1>
    </dataValidation>
    <dataValidation type="list" allowBlank="1" showInputMessage="1" showErrorMessage="1" sqref="G10" xr:uid="{D63F9616-0BC6-43D8-8D3C-C21CEB073AD4}">
      <formula1>"1,2,3,4,Not Categorized"</formula1>
    </dataValidation>
    <dataValidation type="list" allowBlank="1" sqref="I10" xr:uid="{45A494AA-BF03-4985-A422-41BEB6D7D353}">
      <formula1>"Open,Approved,Rejected,Released"</formula1>
    </dataValidation>
  </dataValidation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J46"/>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7.53125" customWidth="1"/>
  </cols>
  <sheetData>
    <row r="1" spans="1:10" ht="28.5" customHeight="1" thickBot="1" x14ac:dyDescent="0.65">
      <c r="A1" s="19" t="s">
        <v>111</v>
      </c>
      <c r="B1" s="25"/>
      <c r="C1" s="25"/>
      <c r="D1" s="3"/>
      <c r="E1" s="3"/>
      <c r="F1" s="28"/>
      <c r="G1" s="28"/>
      <c r="H1" s="28"/>
      <c r="I1" s="28"/>
      <c r="J1" s="3"/>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27.75" customHeight="1" thickBot="1" x14ac:dyDescent="0.5">
      <c r="A4" s="30" t="s">
        <v>8</v>
      </c>
      <c r="B4" s="31" t="s">
        <v>6</v>
      </c>
      <c r="C4" s="30" t="s">
        <v>541</v>
      </c>
      <c r="D4" s="175" t="s">
        <v>9</v>
      </c>
      <c r="E4" s="176"/>
      <c r="F4" s="177"/>
      <c r="G4" s="175" t="s">
        <v>550</v>
      </c>
      <c r="H4" s="176"/>
      <c r="I4" s="177"/>
      <c r="J4" s="29"/>
    </row>
    <row r="5" spans="1:10" s="5" customFormat="1" ht="27" customHeight="1" thickBot="1" x14ac:dyDescent="0.5">
      <c r="A5" s="24" t="s">
        <v>106</v>
      </c>
      <c r="B5" s="24">
        <v>39188</v>
      </c>
      <c r="C5" s="24" t="s">
        <v>15</v>
      </c>
      <c r="D5" s="178" t="s">
        <v>112</v>
      </c>
      <c r="E5" s="179"/>
      <c r="F5" s="180"/>
      <c r="G5" s="181" t="s">
        <v>209</v>
      </c>
      <c r="H5" s="182"/>
      <c r="I5" s="183"/>
      <c r="J5" s="29"/>
    </row>
    <row r="6" spans="1:10" s="5" customFormat="1" ht="97.7" customHeight="1" thickBot="1" x14ac:dyDescent="0.5">
      <c r="A6" s="24" t="s">
        <v>107</v>
      </c>
      <c r="B6" s="24">
        <v>41114</v>
      </c>
      <c r="C6" s="94" t="s">
        <v>556</v>
      </c>
      <c r="D6" s="181" t="s">
        <v>110</v>
      </c>
      <c r="E6" s="182"/>
      <c r="F6" s="183"/>
      <c r="G6" s="181" t="s">
        <v>144</v>
      </c>
      <c r="H6" s="182"/>
      <c r="I6" s="183"/>
      <c r="J6" s="29"/>
    </row>
    <row r="7" spans="1:10" s="65" customFormat="1" ht="13.5" customHeight="1" thickBot="1" x14ac:dyDescent="0.4">
      <c r="A7" s="24" t="s">
        <v>108</v>
      </c>
      <c r="B7" s="24">
        <v>42185</v>
      </c>
      <c r="C7" s="94" t="s">
        <v>556</v>
      </c>
      <c r="D7" s="181" t="s">
        <v>114</v>
      </c>
      <c r="E7" s="182"/>
      <c r="F7" s="183"/>
      <c r="G7" s="178" t="s">
        <v>92</v>
      </c>
      <c r="H7" s="179"/>
      <c r="I7" s="180"/>
      <c r="J7" s="29"/>
    </row>
    <row r="8" spans="1:10" s="65" customFormat="1" ht="30" customHeight="1" thickBot="1" x14ac:dyDescent="0.4">
      <c r="A8" s="24" t="s">
        <v>109</v>
      </c>
      <c r="B8" s="43">
        <v>43480</v>
      </c>
      <c r="C8" s="44" t="s">
        <v>15</v>
      </c>
      <c r="D8" s="181" t="s">
        <v>116</v>
      </c>
      <c r="E8" s="182"/>
      <c r="F8" s="183"/>
      <c r="G8" s="178" t="s">
        <v>92</v>
      </c>
      <c r="H8" s="179"/>
      <c r="I8" s="180"/>
      <c r="J8" s="29"/>
    </row>
    <row r="9" spans="1:10" s="65" customFormat="1" ht="129" customHeight="1" thickBot="1" x14ac:dyDescent="0.4">
      <c r="A9" s="94" t="s">
        <v>549</v>
      </c>
      <c r="B9" s="94">
        <v>44733</v>
      </c>
      <c r="C9" s="95" t="s">
        <v>15</v>
      </c>
      <c r="D9" s="184" t="s">
        <v>575</v>
      </c>
      <c r="E9" s="185"/>
      <c r="F9" s="186"/>
      <c r="G9" s="184" t="s">
        <v>551</v>
      </c>
      <c r="H9" s="185"/>
      <c r="I9" s="186"/>
      <c r="J9" s="29"/>
    </row>
    <row r="10" spans="1:10" s="5" customFormat="1" ht="14.25" x14ac:dyDescent="0.45">
      <c r="A10" s="29"/>
      <c r="B10" s="29"/>
      <c r="C10" s="29"/>
      <c r="D10" s="29"/>
      <c r="E10" s="29"/>
      <c r="F10" s="29"/>
      <c r="G10" s="29"/>
      <c r="H10" s="29"/>
      <c r="I10" s="29"/>
      <c r="J10" s="29"/>
    </row>
    <row r="11" spans="1:10" ht="21" customHeight="1" x14ac:dyDescent="0.4">
      <c r="A11" s="166" t="s">
        <v>7</v>
      </c>
      <c r="B11" s="166"/>
      <c r="C11" s="27"/>
      <c r="D11" s="3"/>
      <c r="E11" s="3"/>
      <c r="F11" s="28"/>
      <c r="G11" s="28"/>
      <c r="H11" s="28"/>
      <c r="I11" s="28"/>
      <c r="J11" s="3"/>
    </row>
    <row r="12" spans="1:10" ht="21" customHeight="1" thickBot="1" x14ac:dyDescent="0.45">
      <c r="A12" s="132" t="s">
        <v>660</v>
      </c>
      <c r="B12" s="133"/>
      <c r="C12" s="134"/>
      <c r="D12" s="132"/>
      <c r="E12" s="135"/>
      <c r="F12" s="136"/>
      <c r="G12" s="136"/>
      <c r="H12" s="136"/>
      <c r="I12" s="136"/>
      <c r="J12" s="135"/>
    </row>
    <row r="13" spans="1:10" s="2" customFormat="1" ht="26.65" thickBot="1" x14ac:dyDescent="0.45">
      <c r="A13" s="32" t="s">
        <v>208</v>
      </c>
      <c r="B13" s="32" t="s">
        <v>661</v>
      </c>
      <c r="C13" s="32" t="s">
        <v>605</v>
      </c>
      <c r="D13" s="33" t="s">
        <v>263</v>
      </c>
      <c r="E13" s="33" t="s">
        <v>662</v>
      </c>
      <c r="F13" s="34" t="s">
        <v>0</v>
      </c>
      <c r="G13" s="33" t="s">
        <v>663</v>
      </c>
      <c r="H13" s="34" t="s">
        <v>664</v>
      </c>
      <c r="I13" s="34" t="s">
        <v>3</v>
      </c>
      <c r="J13" s="33" t="s">
        <v>2</v>
      </c>
    </row>
    <row r="14" spans="1:10" s="2" customFormat="1" ht="25.9" thickBot="1" x14ac:dyDescent="0.45">
      <c r="A14" s="35">
        <f>HYPERLINK("https://bluetooth.atlassian.net/browse/ES-447",447)</f>
        <v>447</v>
      </c>
      <c r="B14" s="36" t="s">
        <v>613</v>
      </c>
      <c r="C14" s="123">
        <v>1</v>
      </c>
      <c r="D14" s="36" t="s">
        <v>113</v>
      </c>
      <c r="E14" s="116" t="s">
        <v>188</v>
      </c>
      <c r="F14" s="118" t="s">
        <v>1</v>
      </c>
      <c r="G14" s="36"/>
      <c r="H14" s="35"/>
      <c r="I14" s="36"/>
      <c r="J14" s="36"/>
    </row>
    <row r="15" spans="1:10" s="2" customFormat="1" ht="38.65" thickBot="1" x14ac:dyDescent="0.45">
      <c r="A15" s="45">
        <f>HYPERLINK("https://bluetooth.atlassian.net/browse/ES-879",879)</f>
        <v>879</v>
      </c>
      <c r="B15" s="38" t="s">
        <v>613</v>
      </c>
      <c r="C15" s="124">
        <v>1</v>
      </c>
      <c r="D15" s="38" t="s">
        <v>117</v>
      </c>
      <c r="E15" s="117" t="s">
        <v>188</v>
      </c>
      <c r="F15" s="112" t="s">
        <v>601</v>
      </c>
      <c r="G15" s="115" t="s">
        <v>188</v>
      </c>
      <c r="H15" s="46" t="s">
        <v>118</v>
      </c>
      <c r="I15" s="119" t="s">
        <v>42</v>
      </c>
      <c r="J15" s="38" t="s">
        <v>119</v>
      </c>
    </row>
    <row r="16" spans="1:10" s="2" customFormat="1" ht="38.65" thickBot="1" x14ac:dyDescent="0.45">
      <c r="A16" s="35">
        <f>HYPERLINK("https://bluetooth.atlassian.net/browse/ES-938",938)</f>
        <v>938</v>
      </c>
      <c r="B16" s="36" t="s">
        <v>613</v>
      </c>
      <c r="C16" s="123">
        <v>1</v>
      </c>
      <c r="D16" s="36" t="s">
        <v>120</v>
      </c>
      <c r="E16" s="116" t="s">
        <v>188</v>
      </c>
      <c r="F16" s="118" t="s">
        <v>604</v>
      </c>
      <c r="G16" s="36" t="s">
        <v>188</v>
      </c>
      <c r="H16" s="128">
        <f>HYPERLINK("https://bluetooth.atlassian.net/browse/ES-1762",1762)</f>
        <v>1762</v>
      </c>
      <c r="I16" s="36"/>
      <c r="J16" s="36"/>
    </row>
    <row r="17" spans="1:10" s="2" customFormat="1" ht="25.9" thickBot="1" x14ac:dyDescent="0.45">
      <c r="A17" s="45">
        <f>HYPERLINK("https://bluetooth.atlassian.net/browse/ES-2903",2903)</f>
        <v>2903</v>
      </c>
      <c r="B17" s="38" t="s">
        <v>613</v>
      </c>
      <c r="C17" s="38">
        <v>1.2</v>
      </c>
      <c r="D17" s="38" t="s">
        <v>121</v>
      </c>
      <c r="E17" s="117" t="s">
        <v>188</v>
      </c>
      <c r="F17" s="112" t="s">
        <v>1</v>
      </c>
      <c r="G17" s="120"/>
      <c r="H17" s="38"/>
      <c r="I17" s="119"/>
      <c r="J17" s="38"/>
    </row>
    <row r="18" spans="1:10" s="2" customFormat="1" ht="25.9" thickBot="1" x14ac:dyDescent="0.45">
      <c r="A18" s="35">
        <f>HYPERLINK("https://bluetooth.atlassian.net/browse/ES-3043",3043)</f>
        <v>3043</v>
      </c>
      <c r="B18" s="36" t="s">
        <v>613</v>
      </c>
      <c r="C18" s="36">
        <v>1.2</v>
      </c>
      <c r="D18" s="36" t="s">
        <v>122</v>
      </c>
      <c r="E18" s="116" t="s">
        <v>188</v>
      </c>
      <c r="F18" s="118" t="s">
        <v>1</v>
      </c>
      <c r="G18" s="36"/>
      <c r="H18" s="35"/>
      <c r="I18" s="36"/>
      <c r="J18" s="36"/>
    </row>
    <row r="19" spans="1:10" s="2" customFormat="1" ht="38.65" thickBot="1" x14ac:dyDescent="0.45">
      <c r="A19" s="45">
        <f>HYPERLINK("https://bluetooth.atlassian.net/browse/ES-3631",3631)</f>
        <v>3631</v>
      </c>
      <c r="B19" s="38" t="s">
        <v>613</v>
      </c>
      <c r="C19" s="38">
        <v>1.2</v>
      </c>
      <c r="D19" s="38" t="s">
        <v>123</v>
      </c>
      <c r="E19" s="117" t="s">
        <v>188</v>
      </c>
      <c r="F19" s="112" t="s">
        <v>1</v>
      </c>
      <c r="G19" s="120"/>
      <c r="H19" s="38"/>
      <c r="I19" s="119"/>
      <c r="J19" s="38"/>
    </row>
    <row r="20" spans="1:10" s="2" customFormat="1" ht="25.9" thickBot="1" x14ac:dyDescent="0.45">
      <c r="A20" s="35">
        <f>HYPERLINK("https://bluetooth.atlassian.net/browse/ES-5272",5272)</f>
        <v>5272</v>
      </c>
      <c r="B20" s="36" t="s">
        <v>613</v>
      </c>
      <c r="C20" s="36">
        <v>1.3</v>
      </c>
      <c r="D20" s="36" t="s">
        <v>124</v>
      </c>
      <c r="E20" s="116" t="s">
        <v>5</v>
      </c>
      <c r="F20" s="118" t="s">
        <v>1</v>
      </c>
      <c r="G20" s="36"/>
      <c r="H20" s="36"/>
      <c r="I20" s="36"/>
      <c r="J20" s="36"/>
    </row>
    <row r="21" spans="1:10" s="2" customFormat="1" ht="25.9" thickBot="1" x14ac:dyDescent="0.45">
      <c r="A21" s="45">
        <f>HYPERLINK("https://bluetooth.atlassian.net/browse/ES-6731",6731)</f>
        <v>6731</v>
      </c>
      <c r="B21" s="38" t="s">
        <v>613</v>
      </c>
      <c r="C21" s="38" t="s">
        <v>611</v>
      </c>
      <c r="D21" s="38" t="s">
        <v>125</v>
      </c>
      <c r="E21" s="117" t="s">
        <v>188</v>
      </c>
      <c r="F21" s="112" t="s">
        <v>1</v>
      </c>
      <c r="G21" s="120"/>
      <c r="H21" s="38"/>
      <c r="I21" s="119"/>
      <c r="J21" s="38" t="s">
        <v>126</v>
      </c>
    </row>
    <row r="22" spans="1:10" s="2" customFormat="1" ht="25.9" thickBot="1" x14ac:dyDescent="0.45">
      <c r="A22" s="35">
        <f>HYPERLINK("https://bluetooth.atlassian.net/browse/ES-7369",7369)</f>
        <v>7369</v>
      </c>
      <c r="B22" s="36" t="s">
        <v>613</v>
      </c>
      <c r="C22" s="36" t="s">
        <v>611</v>
      </c>
      <c r="D22" s="36" t="s">
        <v>127</v>
      </c>
      <c r="E22" s="116" t="s">
        <v>5</v>
      </c>
      <c r="F22" s="118" t="s">
        <v>1</v>
      </c>
      <c r="G22" s="36"/>
      <c r="H22" s="36"/>
      <c r="I22" s="36"/>
      <c r="J22" s="36"/>
    </row>
    <row r="23" spans="1:10" s="2" customFormat="1" ht="25.9" thickBot="1" x14ac:dyDescent="0.45">
      <c r="A23" s="45">
        <f>HYPERLINK("https://bluetooth.atlassian.net/browse/ES-7370",7370)</f>
        <v>7370</v>
      </c>
      <c r="B23" s="38" t="s">
        <v>613</v>
      </c>
      <c r="C23" s="38" t="s">
        <v>611</v>
      </c>
      <c r="D23" s="38" t="s">
        <v>128</v>
      </c>
      <c r="E23" s="117" t="s">
        <v>5</v>
      </c>
      <c r="F23" s="112" t="s">
        <v>1</v>
      </c>
      <c r="G23" s="120"/>
      <c r="H23" s="45"/>
      <c r="I23" s="119"/>
      <c r="J23" s="38"/>
    </row>
    <row r="24" spans="1:10" s="2" customFormat="1" ht="25.9" thickBot="1" x14ac:dyDescent="0.45">
      <c r="A24" s="35">
        <f>HYPERLINK("https://bluetooth.atlassian.net/browse/ES-9120",9120)</f>
        <v>9120</v>
      </c>
      <c r="B24" s="36" t="s">
        <v>613</v>
      </c>
      <c r="C24" s="36" t="s">
        <v>611</v>
      </c>
      <c r="D24" s="36" t="s">
        <v>129</v>
      </c>
      <c r="E24" s="116" t="s">
        <v>188</v>
      </c>
      <c r="F24" s="118" t="s">
        <v>1</v>
      </c>
      <c r="G24" s="36"/>
      <c r="H24" s="36"/>
      <c r="I24" s="36"/>
      <c r="J24" s="36"/>
    </row>
    <row r="25" spans="1:10" s="2" customFormat="1" ht="25.9" thickBot="1" x14ac:dyDescent="0.45">
      <c r="A25" s="45">
        <f>HYPERLINK("https://bluetooth.atlassian.net/browse/ES-9121",9121)</f>
        <v>9121</v>
      </c>
      <c r="B25" s="38" t="s">
        <v>613</v>
      </c>
      <c r="C25" s="38" t="s">
        <v>611</v>
      </c>
      <c r="D25" s="47" t="s">
        <v>130</v>
      </c>
      <c r="E25" s="117" t="s">
        <v>5</v>
      </c>
      <c r="F25" s="112" t="s">
        <v>1</v>
      </c>
      <c r="G25" s="120"/>
      <c r="H25" s="47"/>
      <c r="I25" s="119"/>
      <c r="J25" s="47"/>
    </row>
    <row r="26" spans="1:10" ht="25.9" thickBot="1" x14ac:dyDescent="0.4">
      <c r="A26" s="35">
        <f>HYPERLINK("https://bluetooth.atlassian.net/browse/ES-9494",9494)</f>
        <v>9494</v>
      </c>
      <c r="B26" s="36" t="s">
        <v>613</v>
      </c>
      <c r="C26" s="36" t="s">
        <v>611</v>
      </c>
      <c r="D26" s="36" t="s">
        <v>131</v>
      </c>
      <c r="E26" s="116" t="s">
        <v>5</v>
      </c>
      <c r="F26" s="118" t="s">
        <v>1</v>
      </c>
      <c r="G26" s="36"/>
      <c r="H26" s="36"/>
      <c r="I26" s="36"/>
      <c r="J26" s="36"/>
    </row>
    <row r="27" spans="1:10" s="2" customFormat="1" ht="25.9" thickBot="1" x14ac:dyDescent="0.45">
      <c r="A27" s="45">
        <f>HYPERLINK("https://bluetooth.atlassian.net/browse/ES-18038",18038)</f>
        <v>18038</v>
      </c>
      <c r="B27" s="38" t="s">
        <v>613</v>
      </c>
      <c r="C27" s="54" t="s">
        <v>612</v>
      </c>
      <c r="D27" s="92" t="s">
        <v>552</v>
      </c>
      <c r="E27" s="117" t="s">
        <v>5</v>
      </c>
      <c r="F27" s="112" t="s">
        <v>1</v>
      </c>
      <c r="G27" s="120"/>
      <c r="H27" s="73"/>
      <c r="I27" s="119"/>
      <c r="J27" s="73"/>
    </row>
    <row r="28" spans="1:10" ht="25.9" thickBot="1" x14ac:dyDescent="0.4">
      <c r="A28" s="35">
        <f>HYPERLINK("https://bluetooth.atlassian.net/browse/ES-18039",18039)</f>
        <v>18039</v>
      </c>
      <c r="B28" s="36" t="s">
        <v>613</v>
      </c>
      <c r="C28" s="93" t="s">
        <v>612</v>
      </c>
      <c r="D28" s="93" t="s">
        <v>553</v>
      </c>
      <c r="E28" s="116" t="s">
        <v>5</v>
      </c>
      <c r="F28" s="118" t="s">
        <v>1</v>
      </c>
      <c r="G28" s="36"/>
      <c r="H28" s="74"/>
      <c r="I28" s="36"/>
      <c r="J28" s="74"/>
    </row>
    <row r="29" spans="1:10" s="2" customFormat="1" ht="25.9" thickBot="1" x14ac:dyDescent="0.45">
      <c r="A29" s="45">
        <f>HYPERLINK("https://bluetooth.atlassian.net/browse/ES-18116",18116)</f>
        <v>18116</v>
      </c>
      <c r="B29" s="38" t="s">
        <v>613</v>
      </c>
      <c r="C29" s="54" t="s">
        <v>612</v>
      </c>
      <c r="D29" s="92" t="s">
        <v>554</v>
      </c>
      <c r="E29" s="117" t="s">
        <v>5</v>
      </c>
      <c r="F29" s="112" t="s">
        <v>1</v>
      </c>
      <c r="G29" s="120"/>
      <c r="H29" s="73"/>
      <c r="I29" s="119"/>
      <c r="J29" s="73"/>
    </row>
    <row r="30" spans="1:10" ht="25.9" thickBot="1" x14ac:dyDescent="0.4">
      <c r="A30" s="35">
        <f>HYPERLINK("https://bluetooth.atlassian.net/browse/ES-18163",18163)</f>
        <v>18163</v>
      </c>
      <c r="B30" s="36" t="s">
        <v>613</v>
      </c>
      <c r="C30" s="93" t="s">
        <v>612</v>
      </c>
      <c r="D30" s="93" t="s">
        <v>555</v>
      </c>
      <c r="E30" s="116" t="s">
        <v>5</v>
      </c>
      <c r="F30" s="118" t="s">
        <v>1</v>
      </c>
      <c r="G30" s="36"/>
      <c r="H30" s="74"/>
      <c r="I30" s="36"/>
      <c r="J30" s="74"/>
    </row>
    <row r="31" spans="1:10" s="2" customFormat="1" ht="38.65" thickBot="1" x14ac:dyDescent="0.45">
      <c r="A31" s="45">
        <f>HYPERLINK("https://bluetooth.atlassian.net/browse/ES-18164",18164)</f>
        <v>18164</v>
      </c>
      <c r="B31" s="38" t="s">
        <v>613</v>
      </c>
      <c r="C31" s="54" t="s">
        <v>612</v>
      </c>
      <c r="D31" s="92" t="s">
        <v>558</v>
      </c>
      <c r="E31" s="117" t="s">
        <v>5</v>
      </c>
      <c r="F31" s="112" t="s">
        <v>1</v>
      </c>
      <c r="G31" s="120"/>
      <c r="H31" s="73"/>
      <c r="I31" s="119"/>
      <c r="J31" s="73"/>
    </row>
    <row r="32" spans="1:10" ht="25.9" thickBot="1" x14ac:dyDescent="0.4">
      <c r="A32" s="35">
        <f>HYPERLINK("https://bluetooth.atlassian.net/browse/ES-18165",18165)</f>
        <v>18165</v>
      </c>
      <c r="B32" s="36" t="s">
        <v>613</v>
      </c>
      <c r="C32" s="93" t="s">
        <v>612</v>
      </c>
      <c r="D32" s="93" t="s">
        <v>559</v>
      </c>
      <c r="E32" s="116" t="s">
        <v>5</v>
      </c>
      <c r="F32" s="118" t="s">
        <v>1</v>
      </c>
      <c r="G32" s="36"/>
      <c r="H32" s="74"/>
      <c r="I32" s="36"/>
      <c r="J32" s="74"/>
    </row>
    <row r="33" spans="1:10" s="2" customFormat="1" ht="25.9" thickBot="1" x14ac:dyDescent="0.45">
      <c r="A33" s="45">
        <f>HYPERLINK("https://bluetooth.atlassian.net/browse/ES-18209",18209)</f>
        <v>18209</v>
      </c>
      <c r="B33" s="38" t="s">
        <v>613</v>
      </c>
      <c r="C33" s="54" t="s">
        <v>612</v>
      </c>
      <c r="D33" s="92" t="s">
        <v>560</v>
      </c>
      <c r="E33" s="117" t="s">
        <v>5</v>
      </c>
      <c r="F33" s="112" t="s">
        <v>1</v>
      </c>
      <c r="G33" s="120"/>
      <c r="H33" s="73"/>
      <c r="I33" s="119"/>
      <c r="J33" s="73"/>
    </row>
    <row r="34" spans="1:10" ht="25.9" thickBot="1" x14ac:dyDescent="0.4">
      <c r="A34" s="35">
        <f>HYPERLINK("https://bluetooth.atlassian.net/browse/ES-18211",18211)</f>
        <v>18211</v>
      </c>
      <c r="B34" s="36" t="s">
        <v>613</v>
      </c>
      <c r="C34" s="93" t="s">
        <v>612</v>
      </c>
      <c r="D34" s="93" t="s">
        <v>561</v>
      </c>
      <c r="E34" s="116" t="s">
        <v>5</v>
      </c>
      <c r="F34" s="118" t="s">
        <v>1</v>
      </c>
      <c r="G34" s="36"/>
      <c r="H34" s="74"/>
      <c r="I34" s="36"/>
      <c r="J34" s="74"/>
    </row>
    <row r="35" spans="1:10" s="2" customFormat="1" ht="25.9" thickBot="1" x14ac:dyDescent="0.45">
      <c r="A35" s="45">
        <f>HYPERLINK("https://bluetooth.atlassian.net/browse/ES-18314",18314)</f>
        <v>18314</v>
      </c>
      <c r="B35" s="38" t="s">
        <v>613</v>
      </c>
      <c r="C35" s="54" t="s">
        <v>612</v>
      </c>
      <c r="D35" s="92" t="s">
        <v>562</v>
      </c>
      <c r="E35" s="117" t="s">
        <v>5</v>
      </c>
      <c r="F35" s="112" t="s">
        <v>1</v>
      </c>
      <c r="G35" s="120"/>
      <c r="H35" s="73"/>
      <c r="I35" s="119"/>
      <c r="J35" s="73"/>
    </row>
    <row r="36" spans="1:10" ht="25.9" thickBot="1" x14ac:dyDescent="0.4">
      <c r="A36" s="35">
        <f>HYPERLINK("https://bluetooth.atlassian.net/browse/ES-18340",18340)</f>
        <v>18340</v>
      </c>
      <c r="B36" s="36" t="s">
        <v>613</v>
      </c>
      <c r="C36" s="93" t="s">
        <v>612</v>
      </c>
      <c r="D36" s="93" t="s">
        <v>563</v>
      </c>
      <c r="E36" s="116" t="s">
        <v>5</v>
      </c>
      <c r="F36" s="118" t="s">
        <v>1</v>
      </c>
      <c r="G36" s="36"/>
      <c r="H36" s="74"/>
      <c r="I36" s="36"/>
      <c r="J36" s="74"/>
    </row>
    <row r="37" spans="1:10" s="2" customFormat="1" ht="25.9" thickBot="1" x14ac:dyDescent="0.45">
      <c r="A37" s="45">
        <f>HYPERLINK("https://bluetooth.atlassian.net/browse/ES-18360",18360)</f>
        <v>18360</v>
      </c>
      <c r="B37" s="38" t="s">
        <v>613</v>
      </c>
      <c r="C37" s="54" t="s">
        <v>612</v>
      </c>
      <c r="D37" s="92" t="s">
        <v>564</v>
      </c>
      <c r="E37" s="117" t="s">
        <v>5</v>
      </c>
      <c r="F37" s="112" t="s">
        <v>1</v>
      </c>
      <c r="G37" s="120"/>
      <c r="H37" s="73"/>
      <c r="I37" s="119"/>
      <c r="J37" s="73"/>
    </row>
    <row r="38" spans="1:10" ht="25.9" thickBot="1" x14ac:dyDescent="0.4">
      <c r="A38" s="35">
        <f>HYPERLINK("https://bluetooth.atlassian.net/browse/ES-18368",18368)</f>
        <v>18368</v>
      </c>
      <c r="B38" s="36" t="s">
        <v>613</v>
      </c>
      <c r="C38" s="93" t="s">
        <v>612</v>
      </c>
      <c r="D38" s="93" t="s">
        <v>565</v>
      </c>
      <c r="E38" s="116" t="s">
        <v>5</v>
      </c>
      <c r="F38" s="118" t="s">
        <v>1</v>
      </c>
      <c r="G38" s="36"/>
      <c r="H38" s="74"/>
      <c r="I38" s="36"/>
      <c r="J38" s="74"/>
    </row>
    <row r="39" spans="1:10" s="2" customFormat="1" ht="25.9" thickBot="1" x14ac:dyDescent="0.45">
      <c r="A39" s="45">
        <f>HYPERLINK("https://bluetooth.atlassian.net/browse/ES-18369",18369)</f>
        <v>18369</v>
      </c>
      <c r="B39" s="38" t="s">
        <v>613</v>
      </c>
      <c r="C39" s="54" t="s">
        <v>612</v>
      </c>
      <c r="D39" s="92" t="s">
        <v>566</v>
      </c>
      <c r="E39" s="117" t="s">
        <v>5</v>
      </c>
      <c r="F39" s="112" t="s">
        <v>1</v>
      </c>
      <c r="G39" s="120"/>
      <c r="H39" s="73"/>
      <c r="I39" s="119"/>
      <c r="J39" s="73"/>
    </row>
    <row r="40" spans="1:10" ht="25.9" thickBot="1" x14ac:dyDescent="0.4">
      <c r="A40" s="35">
        <f>HYPERLINK("https://bluetooth.atlassian.net/browse/ES-18370",18370)</f>
        <v>18370</v>
      </c>
      <c r="B40" s="36" t="s">
        <v>613</v>
      </c>
      <c r="C40" s="93" t="s">
        <v>612</v>
      </c>
      <c r="D40" s="93" t="s">
        <v>567</v>
      </c>
      <c r="E40" s="116" t="s">
        <v>5</v>
      </c>
      <c r="F40" s="118" t="s">
        <v>1</v>
      </c>
      <c r="G40" s="36"/>
      <c r="H40" s="74"/>
      <c r="I40" s="36"/>
      <c r="J40" s="74"/>
    </row>
    <row r="41" spans="1:10" s="2" customFormat="1" ht="38.65" thickBot="1" x14ac:dyDescent="0.45">
      <c r="A41" s="45">
        <f>HYPERLINK("https://bluetooth.atlassian.net/browse/ES-18398",18398)</f>
        <v>18398</v>
      </c>
      <c r="B41" s="38" t="s">
        <v>613</v>
      </c>
      <c r="C41" s="54" t="s">
        <v>612</v>
      </c>
      <c r="D41" s="92" t="s">
        <v>568</v>
      </c>
      <c r="E41" s="117" t="s">
        <v>5</v>
      </c>
      <c r="F41" s="118" t="s">
        <v>604</v>
      </c>
      <c r="G41" s="115">
        <v>1</v>
      </c>
      <c r="H41" s="45">
        <f>HYPERLINK("https://bluetooth.atlassian.net/browse/ES-18610",18610)</f>
        <v>18610</v>
      </c>
      <c r="I41" s="119" t="s">
        <v>42</v>
      </c>
      <c r="J41" s="92" t="s">
        <v>572</v>
      </c>
    </row>
    <row r="42" spans="1:10" ht="38.65" thickBot="1" x14ac:dyDescent="0.4">
      <c r="A42" s="35">
        <f>HYPERLINK("https://bluetooth.atlassian.net/browse/ES-18481",18481)</f>
        <v>18481</v>
      </c>
      <c r="B42" s="36" t="s">
        <v>613</v>
      </c>
      <c r="C42" s="93" t="s">
        <v>612</v>
      </c>
      <c r="D42" s="93" t="s">
        <v>569</v>
      </c>
      <c r="E42" s="116" t="s">
        <v>5</v>
      </c>
      <c r="F42" s="118" t="s">
        <v>604</v>
      </c>
      <c r="G42" s="36">
        <v>1</v>
      </c>
      <c r="H42" s="35">
        <f>HYPERLINK("https://bluetooth.atlassian.net/browse/ES-18683",18683)</f>
        <v>18683</v>
      </c>
      <c r="I42" s="36" t="s">
        <v>42</v>
      </c>
      <c r="J42" s="93" t="s">
        <v>570</v>
      </c>
    </row>
    <row r="43" spans="1:10" s="2" customFormat="1" ht="38.65" thickBot="1" x14ac:dyDescent="0.45">
      <c r="A43" s="45">
        <f>HYPERLINK("https://bluetooth.atlassian.net/browse/ES-18482",18482)</f>
        <v>18482</v>
      </c>
      <c r="B43" s="38" t="s">
        <v>613</v>
      </c>
      <c r="C43" s="54" t="s">
        <v>612</v>
      </c>
      <c r="D43" s="92" t="s">
        <v>571</v>
      </c>
      <c r="E43" s="117" t="s">
        <v>5</v>
      </c>
      <c r="F43" s="118" t="s">
        <v>604</v>
      </c>
      <c r="G43" s="115">
        <v>1</v>
      </c>
      <c r="H43" s="45">
        <f>HYPERLINK("https://bluetooth.atlassian.net/browse/ES-18610",18610)</f>
        <v>18610</v>
      </c>
      <c r="I43" s="119" t="s">
        <v>42</v>
      </c>
      <c r="J43" s="92" t="s">
        <v>572</v>
      </c>
    </row>
    <row r="44" spans="1:10" ht="25.9" thickBot="1" x14ac:dyDescent="0.4">
      <c r="A44" s="35">
        <f>HYPERLINK("https://bluetooth.atlassian.net/browse/ES-18705",18705)</f>
        <v>18705</v>
      </c>
      <c r="B44" s="36" t="s">
        <v>613</v>
      </c>
      <c r="C44" s="93" t="s">
        <v>612</v>
      </c>
      <c r="D44" s="93" t="s">
        <v>573</v>
      </c>
      <c r="E44" s="116" t="s">
        <v>5</v>
      </c>
      <c r="F44" s="118" t="s">
        <v>1</v>
      </c>
      <c r="G44" s="36"/>
      <c r="H44" s="36"/>
      <c r="I44" s="36"/>
      <c r="J44" s="93"/>
    </row>
    <row r="45" spans="1:10" s="2" customFormat="1" ht="25.9" thickBot="1" x14ac:dyDescent="0.45">
      <c r="A45" s="45">
        <f>HYPERLINK("https://bluetooth.atlassian.net/browse/ES-18812",18812)</f>
        <v>18812</v>
      </c>
      <c r="B45" s="38" t="s">
        <v>613</v>
      </c>
      <c r="C45" s="54" t="s">
        <v>612</v>
      </c>
      <c r="D45" s="92" t="s">
        <v>574</v>
      </c>
      <c r="E45" s="117" t="s">
        <v>5</v>
      </c>
      <c r="F45" s="112" t="s">
        <v>1</v>
      </c>
      <c r="G45" s="120"/>
      <c r="H45" s="47"/>
      <c r="I45" s="119"/>
      <c r="J45" s="92"/>
    </row>
    <row r="46" spans="1:10" ht="38.65" thickBot="1" x14ac:dyDescent="0.4">
      <c r="A46" s="35">
        <f>HYPERLINK("https://bluetooth.atlassian.net/browse/ES-18994",18994)</f>
        <v>18994</v>
      </c>
      <c r="B46" s="36" t="s">
        <v>613</v>
      </c>
      <c r="C46" s="93" t="s">
        <v>612</v>
      </c>
      <c r="D46" s="93" t="s">
        <v>576</v>
      </c>
      <c r="E46" s="116" t="s">
        <v>5</v>
      </c>
      <c r="F46" s="118" t="s">
        <v>604</v>
      </c>
      <c r="G46" s="36">
        <v>2</v>
      </c>
      <c r="H46" s="35">
        <f>HYPERLINK("https://bluetooth.atlassian.net/browse/ES-19010",19010)</f>
        <v>19010</v>
      </c>
      <c r="I46" s="36" t="s">
        <v>42</v>
      </c>
      <c r="J46" s="93" t="s">
        <v>577</v>
      </c>
    </row>
  </sheetData>
  <mergeCells count="15">
    <mergeCell ref="A2:I2"/>
    <mergeCell ref="A11:B11"/>
    <mergeCell ref="D4:F4"/>
    <mergeCell ref="D5:F5"/>
    <mergeCell ref="D6:F6"/>
    <mergeCell ref="D7:F7"/>
    <mergeCell ref="D8:F8"/>
    <mergeCell ref="D9:F9"/>
    <mergeCell ref="G8:I8"/>
    <mergeCell ref="G9:I9"/>
    <mergeCell ref="A3:I3"/>
    <mergeCell ref="G4:I4"/>
    <mergeCell ref="G5:I5"/>
    <mergeCell ref="G6:I6"/>
    <mergeCell ref="G7:I7"/>
  </mergeCells>
  <phoneticPr fontId="18" type="noConversion"/>
  <conditionalFormatting sqref="F14:F46">
    <cfRule type="cellIs" dxfId="22" priority="3" operator="greaterThan">
      <formula>"Yes"</formula>
    </cfRule>
  </conditionalFormatting>
  <dataValidations count="7">
    <dataValidation type="list" allowBlank="1" sqref="I13" xr:uid="{4A2FC3A0-D847-4264-8C6D-20C9F2171EAA}">
      <formula1>#REF!</formula1>
    </dataValidation>
    <dataValidation type="list" allowBlank="1" showInputMessage="1" showErrorMessage="1" sqref="E14:E46" xr:uid="{16577F40-8D7B-47C0-B221-55842A5E2C36}">
      <formula1>"Editorial,1/Technical Low,2/Technical Medium,3/Technical High,4/Technical Critical,Not Categorized"</formula1>
    </dataValidation>
    <dataValidation type="list" allowBlank="1" sqref="I14:I46" xr:uid="{55CEA51A-62CA-4045-9F29-3DB6590094A6}">
      <formula1>"Open,Approved,Rejected,Released"</formula1>
    </dataValidation>
    <dataValidation allowBlank="1" sqref="H14:H46" xr:uid="{F68B3C32-1E98-44A6-BCBE-7E71D49852F0}"/>
    <dataValidation type="list" allowBlank="1" sqref="F14:F46" xr:uid="{E3160C51-92AF-450F-BB61-3ACA46CAAE8D}">
      <formula1>"No,Yes - doesn't need to wait for erratum,Yes - tied to spec change,Not Reviewed"</formula1>
    </dataValidation>
    <dataValidation type="list" allowBlank="1" showInputMessage="1" showErrorMessage="1" sqref="G14:G46" xr:uid="{30182DF1-AB90-4EEF-B6B8-5E92D77A9FE5}">
      <formula1>"1,2,3,4,Not Categorized"</formula1>
    </dataValidation>
    <dataValidation type="list" allowBlank="1" sqref="F13:H13" xr:uid="{343ECAD8-AE41-4CB3-90A0-E3DABDEDFC5E}">
      <formula1>#REF!</formula1>
    </dataValidation>
  </dataValidation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J14"/>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6.265625" customWidth="1"/>
  </cols>
  <sheetData>
    <row r="1" spans="1:10" ht="28.5" customHeight="1" thickBot="1" x14ac:dyDescent="0.65">
      <c r="A1" s="19" t="s">
        <v>135</v>
      </c>
      <c r="B1" s="25"/>
      <c r="C1" s="25"/>
      <c r="D1" s="3"/>
      <c r="E1" s="3"/>
      <c r="F1" s="28"/>
      <c r="G1" s="28"/>
      <c r="H1" s="28"/>
      <c r="I1" s="28"/>
      <c r="J1" s="29"/>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30.75" customHeight="1" thickBot="1" x14ac:dyDescent="0.5">
      <c r="A4" s="30" t="s">
        <v>8</v>
      </c>
      <c r="B4" s="31" t="s">
        <v>6</v>
      </c>
      <c r="C4" s="30" t="s">
        <v>541</v>
      </c>
      <c r="D4" s="175" t="s">
        <v>9</v>
      </c>
      <c r="E4" s="176"/>
      <c r="F4" s="177"/>
      <c r="G4" s="175" t="s">
        <v>550</v>
      </c>
      <c r="H4" s="176"/>
      <c r="I4" s="177"/>
      <c r="J4" s="29"/>
    </row>
    <row r="5" spans="1:10" s="5" customFormat="1" ht="29.25" customHeight="1" thickBot="1" x14ac:dyDescent="0.5">
      <c r="A5" s="24" t="s">
        <v>132</v>
      </c>
      <c r="B5" s="24">
        <v>39188</v>
      </c>
      <c r="C5" s="94" t="s">
        <v>556</v>
      </c>
      <c r="D5" s="178" t="s">
        <v>136</v>
      </c>
      <c r="E5" s="179"/>
      <c r="F5" s="180"/>
      <c r="G5" s="181" t="s">
        <v>640</v>
      </c>
      <c r="H5" s="182"/>
      <c r="I5" s="183"/>
      <c r="J5" s="29"/>
    </row>
    <row r="6" spans="1:10" s="5" customFormat="1" ht="27.7" customHeight="1" thickBot="1" x14ac:dyDescent="0.5">
      <c r="A6" s="24" t="s">
        <v>133</v>
      </c>
      <c r="B6" s="24">
        <v>39625</v>
      </c>
      <c r="C6" s="94" t="s">
        <v>556</v>
      </c>
      <c r="D6" s="181" t="s">
        <v>140</v>
      </c>
      <c r="E6" s="182"/>
      <c r="F6" s="183"/>
      <c r="G6" s="181" t="s">
        <v>639</v>
      </c>
      <c r="H6" s="182"/>
      <c r="I6" s="183"/>
      <c r="J6" s="29"/>
    </row>
    <row r="7" spans="1:10" s="5" customFormat="1" ht="15.7" customHeight="1" thickBot="1" x14ac:dyDescent="0.5">
      <c r="A7" s="24" t="s">
        <v>134</v>
      </c>
      <c r="B7" s="24">
        <v>41114</v>
      </c>
      <c r="C7" s="24" t="s">
        <v>15</v>
      </c>
      <c r="D7" s="181" t="s">
        <v>137</v>
      </c>
      <c r="E7" s="182"/>
      <c r="F7" s="183"/>
      <c r="G7" s="178" t="s">
        <v>638</v>
      </c>
      <c r="H7" s="179"/>
      <c r="I7" s="180"/>
      <c r="J7" s="29"/>
    </row>
    <row r="8" spans="1:10" s="5" customFormat="1" ht="14.25" x14ac:dyDescent="0.45">
      <c r="A8" s="29"/>
      <c r="B8" s="29"/>
      <c r="C8" s="29"/>
      <c r="D8" s="29"/>
      <c r="E8" s="29"/>
      <c r="F8" s="29"/>
      <c r="G8" s="29"/>
      <c r="H8" s="29"/>
      <c r="I8" s="29"/>
      <c r="J8" s="29"/>
    </row>
    <row r="9" spans="1:10" ht="21" customHeight="1" x14ac:dyDescent="0.4">
      <c r="A9" s="166" t="s">
        <v>7</v>
      </c>
      <c r="B9" s="166"/>
      <c r="C9" s="27"/>
      <c r="D9" s="3"/>
      <c r="E9" s="3"/>
      <c r="F9" s="28"/>
      <c r="G9" s="28"/>
      <c r="H9" s="28"/>
      <c r="I9" s="28"/>
      <c r="J9" s="3"/>
    </row>
    <row r="10" spans="1:10" ht="21" customHeight="1" thickBot="1" x14ac:dyDescent="0.45">
      <c r="A10" s="132" t="s">
        <v>660</v>
      </c>
      <c r="B10" s="133"/>
      <c r="C10" s="134"/>
      <c r="D10" s="132"/>
      <c r="E10" s="135"/>
      <c r="F10" s="136"/>
      <c r="G10" s="136"/>
      <c r="H10" s="136"/>
      <c r="I10" s="136"/>
      <c r="J10" s="135"/>
    </row>
    <row r="11" spans="1:10" s="2" customFormat="1" ht="25.5" customHeight="1" thickBot="1" x14ac:dyDescent="0.45">
      <c r="A11" s="32" t="s">
        <v>208</v>
      </c>
      <c r="B11" s="32" t="s">
        <v>661</v>
      </c>
      <c r="C11" s="32" t="s">
        <v>605</v>
      </c>
      <c r="D11" s="33" t="s">
        <v>263</v>
      </c>
      <c r="E11" s="33" t="s">
        <v>662</v>
      </c>
      <c r="F11" s="34" t="s">
        <v>0</v>
      </c>
      <c r="G11" s="33" t="s">
        <v>663</v>
      </c>
      <c r="H11" s="34" t="s">
        <v>664</v>
      </c>
      <c r="I11" s="34" t="s">
        <v>3</v>
      </c>
      <c r="J11" s="33" t="s">
        <v>2</v>
      </c>
    </row>
    <row r="12" spans="1:10" s="2" customFormat="1" ht="27" customHeight="1" thickBot="1" x14ac:dyDescent="0.45">
      <c r="A12" s="35">
        <f>HYPERLINK("https://bluetooth.atlassian.net/browse/ES-733",733)</f>
        <v>733</v>
      </c>
      <c r="B12" s="36" t="s">
        <v>614</v>
      </c>
      <c r="C12" s="36">
        <v>1.2</v>
      </c>
      <c r="D12" s="36" t="s">
        <v>138</v>
      </c>
      <c r="E12" s="116" t="s">
        <v>188</v>
      </c>
      <c r="F12" s="118" t="s">
        <v>1</v>
      </c>
      <c r="G12" s="36"/>
      <c r="H12" s="35"/>
      <c r="I12" s="36"/>
      <c r="J12" s="36"/>
    </row>
    <row r="13" spans="1:10" s="2" customFormat="1" ht="25.9" thickBot="1" x14ac:dyDescent="0.45">
      <c r="A13" s="37">
        <f>HYPERLINK("https://bluetooth.atlassian.net/browse/ES-2689",2689)</f>
        <v>2689</v>
      </c>
      <c r="B13" s="38" t="s">
        <v>614</v>
      </c>
      <c r="C13" s="38">
        <v>1.3</v>
      </c>
      <c r="D13" s="38" t="s">
        <v>139</v>
      </c>
      <c r="E13" s="117" t="s">
        <v>5</v>
      </c>
      <c r="F13" s="112" t="s">
        <v>1</v>
      </c>
      <c r="G13" s="120"/>
      <c r="H13" s="46"/>
      <c r="I13" s="119"/>
      <c r="J13" s="38"/>
    </row>
    <row r="14" spans="1:10" ht="15.75" customHeight="1" x14ac:dyDescent="0.35">
      <c r="A14" s="25"/>
      <c r="B14" s="25"/>
      <c r="C14" s="25"/>
      <c r="D14" s="3"/>
      <c r="E14" s="3"/>
      <c r="F14" s="28"/>
      <c r="G14" s="28"/>
      <c r="H14" s="28"/>
      <c r="I14" s="28"/>
      <c r="J14" s="3"/>
    </row>
  </sheetData>
  <mergeCells count="11">
    <mergeCell ref="A2:I2"/>
    <mergeCell ref="A3:I3"/>
    <mergeCell ref="A9:B9"/>
    <mergeCell ref="D4:F4"/>
    <mergeCell ref="D5:F5"/>
    <mergeCell ref="D6:F6"/>
    <mergeCell ref="D7:F7"/>
    <mergeCell ref="G4:I4"/>
    <mergeCell ref="G5:I5"/>
    <mergeCell ref="G6:I6"/>
    <mergeCell ref="G7:I7"/>
  </mergeCells>
  <conditionalFormatting sqref="F12:F13">
    <cfRule type="cellIs" dxfId="21" priority="1" operator="greaterThan">
      <formula>"Yes"</formula>
    </cfRule>
  </conditionalFormatting>
  <dataValidations count="7">
    <dataValidation type="list" allowBlank="1" sqref="I11" xr:uid="{00000000-0002-0000-0300-000000000000}">
      <formula1>#REF!</formula1>
    </dataValidation>
    <dataValidation type="list" allowBlank="1" sqref="F11:H11" xr:uid="{6FAD5786-59CB-4C03-83EA-CE708E9CDCA5}">
      <formula1>#REF!</formula1>
    </dataValidation>
    <dataValidation type="list" allowBlank="1" showInputMessage="1" showErrorMessage="1" sqref="E12:E13" xr:uid="{0BC4CB35-E4E0-4DE3-9F24-1DF866AC0D6E}">
      <formula1>"Editorial,1/Technical Low,2/Technical Medium,3/Technical High,4/Technical Critical,Not Categorized"</formula1>
    </dataValidation>
    <dataValidation type="list" allowBlank="1" sqref="F12:F13" xr:uid="{FD445779-9AFA-472D-8F1A-11DD44C2ACD2}">
      <formula1>"No,Yes - doesn't need to wait for erratum,Yes - tied to spec change,Not Reviewed"</formula1>
    </dataValidation>
    <dataValidation allowBlank="1" sqref="H12:H13" xr:uid="{5DA094EA-5292-49EE-AD8E-DD67DC5FB71B}"/>
    <dataValidation type="list" allowBlank="1" showInputMessage="1" showErrorMessage="1" sqref="G12:G13" xr:uid="{C8765324-F25A-4D94-8CF5-D73185C81B51}">
      <formula1>"1,2,3,4,Not Categorized"</formula1>
    </dataValidation>
    <dataValidation type="list" allowBlank="1" sqref="I12:I13" xr:uid="{FCC3EC43-A69A-4B50-A24A-7067B0CE4E8B}">
      <formula1>"Open,Approved,Rejected,Released"</formula1>
    </dataValidation>
  </dataValidation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J24"/>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6.73046875" customWidth="1"/>
  </cols>
  <sheetData>
    <row r="1" spans="1:10" ht="28.5" customHeight="1" thickBot="1" x14ac:dyDescent="0.65">
      <c r="A1" s="19" t="s">
        <v>141</v>
      </c>
      <c r="B1" s="25"/>
      <c r="C1" s="25"/>
      <c r="D1" s="3"/>
      <c r="E1" s="3"/>
      <c r="F1" s="28"/>
      <c r="G1" s="28"/>
      <c r="H1" s="28"/>
      <c r="I1" s="28"/>
      <c r="J1" s="3"/>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30.7" customHeight="1" thickBot="1" x14ac:dyDescent="0.5">
      <c r="A4" s="30" t="s">
        <v>8</v>
      </c>
      <c r="B4" s="31" t="s">
        <v>6</v>
      </c>
      <c r="C4" s="30" t="s">
        <v>541</v>
      </c>
      <c r="D4" s="175" t="s">
        <v>9</v>
      </c>
      <c r="E4" s="176"/>
      <c r="F4" s="177"/>
      <c r="G4" s="175" t="s">
        <v>550</v>
      </c>
      <c r="H4" s="176"/>
      <c r="I4" s="177"/>
      <c r="J4" s="29"/>
    </row>
    <row r="5" spans="1:10" s="5" customFormat="1" ht="30" customHeight="1" thickBot="1" x14ac:dyDescent="0.5">
      <c r="A5" s="24" t="s">
        <v>142</v>
      </c>
      <c r="B5" s="24">
        <v>39188</v>
      </c>
      <c r="C5" s="94" t="s">
        <v>556</v>
      </c>
      <c r="D5" s="178" t="s">
        <v>147</v>
      </c>
      <c r="E5" s="179"/>
      <c r="F5" s="180"/>
      <c r="G5" s="181" t="s">
        <v>209</v>
      </c>
      <c r="H5" s="182"/>
      <c r="I5" s="183"/>
      <c r="J5" s="29"/>
    </row>
    <row r="6" spans="1:10" s="5" customFormat="1" ht="78.75" customHeight="1" thickBot="1" x14ac:dyDescent="0.5">
      <c r="A6" s="24" t="s">
        <v>143</v>
      </c>
      <c r="B6" s="24">
        <v>41114</v>
      </c>
      <c r="C6" s="24" t="s">
        <v>15</v>
      </c>
      <c r="D6" s="181" t="s">
        <v>146</v>
      </c>
      <c r="E6" s="182"/>
      <c r="F6" s="183"/>
      <c r="G6" s="181" t="s">
        <v>145</v>
      </c>
      <c r="H6" s="182"/>
      <c r="I6" s="183"/>
      <c r="J6" s="29"/>
    </row>
    <row r="7" spans="1:10" s="5" customFormat="1" ht="14.25" x14ac:dyDescent="0.45">
      <c r="A7" s="29"/>
      <c r="B7" s="29"/>
      <c r="C7" s="29"/>
      <c r="D7" s="29"/>
      <c r="E7" s="29"/>
      <c r="F7" s="29"/>
      <c r="G7" s="29"/>
      <c r="H7" s="29"/>
      <c r="I7" s="29"/>
      <c r="J7" s="29"/>
    </row>
    <row r="8" spans="1:10" ht="21" customHeight="1" x14ac:dyDescent="0.4">
      <c r="A8" s="166" t="s">
        <v>7</v>
      </c>
      <c r="B8" s="166"/>
      <c r="C8" s="27"/>
      <c r="D8" s="3"/>
      <c r="E8" s="3"/>
      <c r="F8" s="28"/>
      <c r="G8" s="28"/>
      <c r="H8" s="28"/>
      <c r="I8" s="28"/>
      <c r="J8" s="3"/>
    </row>
    <row r="9" spans="1:10" ht="21" customHeight="1" thickBot="1" x14ac:dyDescent="0.45">
      <c r="A9" s="132" t="s">
        <v>660</v>
      </c>
      <c r="B9" s="133"/>
      <c r="C9" s="134"/>
      <c r="D9" s="132"/>
      <c r="E9" s="135"/>
      <c r="F9" s="136"/>
      <c r="G9" s="136"/>
      <c r="H9" s="136"/>
      <c r="I9" s="136"/>
      <c r="J9" s="135"/>
    </row>
    <row r="10" spans="1:10" s="2" customFormat="1" ht="26.65" thickBot="1" x14ac:dyDescent="0.45">
      <c r="A10" s="32" t="s">
        <v>208</v>
      </c>
      <c r="B10" s="32" t="s">
        <v>661</v>
      </c>
      <c r="C10" s="32" t="s">
        <v>605</v>
      </c>
      <c r="D10" s="33" t="s">
        <v>263</v>
      </c>
      <c r="E10" s="33" t="s">
        <v>662</v>
      </c>
      <c r="F10" s="34" t="s">
        <v>0</v>
      </c>
      <c r="G10" s="33" t="s">
        <v>663</v>
      </c>
      <c r="H10" s="34" t="s">
        <v>664</v>
      </c>
      <c r="I10" s="34" t="s">
        <v>3</v>
      </c>
      <c r="J10" s="33" t="s">
        <v>2</v>
      </c>
    </row>
    <row r="11" spans="1:10" s="2" customFormat="1" ht="25.9" thickBot="1" x14ac:dyDescent="0.45">
      <c r="A11" s="35">
        <f>HYPERLINK("https://bluetooth.atlassian.net/browse/ES-304",304)</f>
        <v>304</v>
      </c>
      <c r="B11" s="36" t="s">
        <v>615</v>
      </c>
      <c r="C11" s="123">
        <v>1</v>
      </c>
      <c r="D11" s="36" t="s">
        <v>148</v>
      </c>
      <c r="E11" s="116" t="s">
        <v>188</v>
      </c>
      <c r="F11" s="118" t="s">
        <v>1</v>
      </c>
      <c r="G11" s="36"/>
      <c r="H11" s="35"/>
      <c r="I11" s="36"/>
      <c r="J11" s="36"/>
    </row>
    <row r="12" spans="1:10" s="2" customFormat="1" ht="25.9" thickBot="1" x14ac:dyDescent="0.45">
      <c r="A12" s="45">
        <f>HYPERLINK("https://bluetooth.atlassian.net/browse/ES-310",310)</f>
        <v>310</v>
      </c>
      <c r="B12" s="38" t="s">
        <v>615</v>
      </c>
      <c r="C12" s="124">
        <v>1</v>
      </c>
      <c r="D12" s="38" t="s">
        <v>149</v>
      </c>
      <c r="E12" s="117" t="s">
        <v>188</v>
      </c>
      <c r="F12" s="112" t="s">
        <v>1</v>
      </c>
      <c r="G12" s="120"/>
      <c r="H12" s="46"/>
      <c r="I12" s="119"/>
      <c r="J12" s="38"/>
    </row>
    <row r="13" spans="1:10" s="2" customFormat="1" ht="25.9" thickBot="1" x14ac:dyDescent="0.45">
      <c r="A13" s="35">
        <f>HYPERLINK("https://bluetooth.atlassian.net/browse/ES-322",322)</f>
        <v>322</v>
      </c>
      <c r="B13" s="36" t="s">
        <v>615</v>
      </c>
      <c r="C13" s="123">
        <v>1</v>
      </c>
      <c r="D13" s="36" t="s">
        <v>150</v>
      </c>
      <c r="E13" s="116" t="s">
        <v>188</v>
      </c>
      <c r="F13" s="118" t="s">
        <v>1</v>
      </c>
      <c r="G13" s="36"/>
      <c r="H13" s="35"/>
      <c r="I13" s="36"/>
      <c r="J13" s="36"/>
    </row>
    <row r="14" spans="1:10" s="2" customFormat="1" ht="25.9" thickBot="1" x14ac:dyDescent="0.45">
      <c r="A14" s="45">
        <f>HYPERLINK("https://bluetooth.atlassian.net/browse/ES-332",332)</f>
        <v>332</v>
      </c>
      <c r="B14" s="38" t="s">
        <v>615</v>
      </c>
      <c r="C14" s="124">
        <v>1</v>
      </c>
      <c r="D14" s="38" t="s">
        <v>151</v>
      </c>
      <c r="E14" s="117" t="s">
        <v>188</v>
      </c>
      <c r="F14" s="112" t="s">
        <v>1</v>
      </c>
      <c r="G14" s="120"/>
      <c r="H14" s="38"/>
      <c r="I14" s="119"/>
      <c r="J14" s="38"/>
    </row>
    <row r="15" spans="1:10" s="2" customFormat="1" ht="25.9" thickBot="1" x14ac:dyDescent="0.45">
      <c r="A15" s="35">
        <f>HYPERLINK("https://bluetooth.atlassian.net/browse/ES-470",470)</f>
        <v>470</v>
      </c>
      <c r="B15" s="36" t="s">
        <v>615</v>
      </c>
      <c r="C15" s="123">
        <v>1</v>
      </c>
      <c r="D15" s="36" t="s">
        <v>152</v>
      </c>
      <c r="E15" s="116" t="s">
        <v>188</v>
      </c>
      <c r="F15" s="118" t="s">
        <v>1</v>
      </c>
      <c r="G15" s="36"/>
      <c r="H15" s="35"/>
      <c r="I15" s="36"/>
      <c r="J15" s="36"/>
    </row>
    <row r="16" spans="1:10" s="2" customFormat="1" ht="25.9" thickBot="1" x14ac:dyDescent="0.45">
      <c r="A16" s="45">
        <f>HYPERLINK("https://bluetooth.atlassian.net/browse/ES-500",500)</f>
        <v>500</v>
      </c>
      <c r="B16" s="38" t="s">
        <v>615</v>
      </c>
      <c r="C16" s="124">
        <v>1</v>
      </c>
      <c r="D16" s="38" t="s">
        <v>153</v>
      </c>
      <c r="E16" s="117" t="s">
        <v>188</v>
      </c>
      <c r="F16" s="112" t="s">
        <v>1</v>
      </c>
      <c r="G16" s="120"/>
      <c r="H16" s="38"/>
      <c r="I16" s="119"/>
      <c r="J16" s="38"/>
    </row>
    <row r="17" spans="1:10" s="2" customFormat="1" ht="25.9" thickBot="1" x14ac:dyDescent="0.45">
      <c r="A17" s="35">
        <f>HYPERLINK("https://bluetooth.atlassian.net/browse/ES-501",501)</f>
        <v>501</v>
      </c>
      <c r="B17" s="36" t="s">
        <v>615</v>
      </c>
      <c r="C17" s="123">
        <v>1</v>
      </c>
      <c r="D17" s="36" t="s">
        <v>154</v>
      </c>
      <c r="E17" s="116" t="s">
        <v>188</v>
      </c>
      <c r="F17" s="118" t="s">
        <v>1</v>
      </c>
      <c r="G17" s="36"/>
      <c r="H17" s="36"/>
      <c r="I17" s="36"/>
      <c r="J17" s="36"/>
    </row>
    <row r="18" spans="1:10" s="2" customFormat="1" ht="25.9" thickBot="1" x14ac:dyDescent="0.45">
      <c r="A18" s="45">
        <f>HYPERLINK("https://bluetooth.atlassian.net/browse/ES-502",502)</f>
        <v>502</v>
      </c>
      <c r="B18" s="38" t="s">
        <v>615</v>
      </c>
      <c r="C18" s="124">
        <v>1</v>
      </c>
      <c r="D18" s="38" t="s">
        <v>155</v>
      </c>
      <c r="E18" s="117" t="s">
        <v>188</v>
      </c>
      <c r="F18" s="112" t="s">
        <v>601</v>
      </c>
      <c r="G18" s="115" t="s">
        <v>188</v>
      </c>
      <c r="H18" s="129">
        <f>HYPERLINK("https://bluetooth.atlassian.net/browse/ES-1534",1534)</f>
        <v>1534</v>
      </c>
      <c r="I18" s="119" t="s">
        <v>42</v>
      </c>
      <c r="J18" s="38" t="s">
        <v>52</v>
      </c>
    </row>
    <row r="19" spans="1:10" s="2" customFormat="1" ht="38.65" thickBot="1" x14ac:dyDescent="0.45">
      <c r="A19" s="35">
        <f>HYPERLINK("https://bluetooth.atlassian.net/browse/ES-735",735)</f>
        <v>735</v>
      </c>
      <c r="B19" s="36" t="s">
        <v>615</v>
      </c>
      <c r="C19" s="123">
        <v>1</v>
      </c>
      <c r="D19" s="36" t="s">
        <v>156</v>
      </c>
      <c r="E19" s="116" t="s">
        <v>188</v>
      </c>
      <c r="F19" s="118" t="s">
        <v>601</v>
      </c>
      <c r="G19" s="36" t="s">
        <v>188</v>
      </c>
      <c r="H19" s="130" t="s">
        <v>158</v>
      </c>
      <c r="I19" s="36" t="s">
        <v>42</v>
      </c>
      <c r="J19" s="36" t="s">
        <v>52</v>
      </c>
    </row>
    <row r="20" spans="1:10" s="2" customFormat="1" ht="51.4" thickBot="1" x14ac:dyDescent="0.45">
      <c r="A20" s="45">
        <f>HYPERLINK("https://bluetooth.atlassian.net/browse/ES-917",917)</f>
        <v>917</v>
      </c>
      <c r="B20" s="38" t="s">
        <v>615</v>
      </c>
      <c r="C20" s="124">
        <v>1</v>
      </c>
      <c r="D20" s="38" t="s">
        <v>157</v>
      </c>
      <c r="E20" s="117" t="s">
        <v>188</v>
      </c>
      <c r="F20" s="112" t="s">
        <v>1</v>
      </c>
      <c r="G20" s="120"/>
      <c r="H20" s="129"/>
      <c r="I20" s="119"/>
      <c r="J20" s="38"/>
    </row>
    <row r="21" spans="1:10" s="2" customFormat="1" ht="25.9" thickBot="1" x14ac:dyDescent="0.45">
      <c r="A21" s="35">
        <f>HYPERLINK("https://bluetooth.atlassian.net/browse/ES-2163",2163)</f>
        <v>2163</v>
      </c>
      <c r="B21" s="36" t="s">
        <v>615</v>
      </c>
      <c r="C21" s="123">
        <v>1</v>
      </c>
      <c r="D21" s="36" t="s">
        <v>159</v>
      </c>
      <c r="E21" s="116" t="s">
        <v>188</v>
      </c>
      <c r="F21" s="118" t="s">
        <v>1</v>
      </c>
      <c r="G21" s="36"/>
      <c r="H21" s="130"/>
      <c r="I21" s="36"/>
      <c r="J21" s="36"/>
    </row>
    <row r="22" spans="1:10" s="2" customFormat="1" ht="25.9" thickBot="1" x14ac:dyDescent="0.45">
      <c r="A22" s="45">
        <f>HYPERLINK("https://bluetooth.atlassian.net/browse/ES-2911",2911)</f>
        <v>2911</v>
      </c>
      <c r="B22" s="38" t="s">
        <v>615</v>
      </c>
      <c r="C22" s="38">
        <v>1.2</v>
      </c>
      <c r="D22" s="47" t="s">
        <v>160</v>
      </c>
      <c r="E22" s="117" t="s">
        <v>188</v>
      </c>
      <c r="F22" s="112" t="s">
        <v>601</v>
      </c>
      <c r="G22" s="115" t="s">
        <v>188</v>
      </c>
      <c r="H22" s="129">
        <f>HYPERLINK("https://bluetooth.atlassian.net/browse/ES-4234",4234)</f>
        <v>4234</v>
      </c>
      <c r="I22" s="119"/>
      <c r="J22" s="47" t="s">
        <v>641</v>
      </c>
    </row>
    <row r="23" spans="1:10" ht="25.9" thickBot="1" x14ac:dyDescent="0.4">
      <c r="A23" s="35">
        <f>HYPERLINK("https://bluetooth.atlassian.net/browse/ES-3049",3049)</f>
        <v>3049</v>
      </c>
      <c r="B23" s="36" t="s">
        <v>615</v>
      </c>
      <c r="C23" s="36">
        <v>1.2</v>
      </c>
      <c r="D23" s="36" t="s">
        <v>161</v>
      </c>
      <c r="E23" s="116" t="s">
        <v>188</v>
      </c>
      <c r="F23" s="118" t="s">
        <v>1</v>
      </c>
      <c r="G23" s="36"/>
      <c r="H23" s="36"/>
      <c r="I23" s="36"/>
      <c r="J23" s="36"/>
    </row>
    <row r="24" spans="1:10" ht="15.75" customHeight="1" x14ac:dyDescent="0.35">
      <c r="A24" s="40"/>
      <c r="B24" s="40"/>
      <c r="C24" s="40"/>
      <c r="D24" s="41"/>
      <c r="E24" s="41"/>
      <c r="F24" s="42"/>
      <c r="G24" s="42"/>
      <c r="H24" s="42"/>
      <c r="I24" s="42"/>
      <c r="J24" s="41"/>
    </row>
  </sheetData>
  <mergeCells count="9">
    <mergeCell ref="A3:I3"/>
    <mergeCell ref="A2:I2"/>
    <mergeCell ref="A8:B8"/>
    <mergeCell ref="D4:F4"/>
    <mergeCell ref="D5:F5"/>
    <mergeCell ref="D6:F6"/>
    <mergeCell ref="G4:I4"/>
    <mergeCell ref="G5:I5"/>
    <mergeCell ref="G6:I6"/>
  </mergeCells>
  <conditionalFormatting sqref="F11:F23">
    <cfRule type="cellIs" dxfId="20" priority="1" operator="greaterThan">
      <formula>"Yes"</formula>
    </cfRule>
  </conditionalFormatting>
  <dataValidations count="7">
    <dataValidation type="list" allowBlank="1" sqref="I10" xr:uid="{00000000-0002-0000-0400-000000000000}">
      <formula1>#REF!</formula1>
    </dataValidation>
    <dataValidation type="list" allowBlank="1" sqref="F10:H10" xr:uid="{33451CBE-B484-4C32-B363-2BFE54781D2B}">
      <formula1>#REF!</formula1>
    </dataValidation>
    <dataValidation allowBlank="1" sqref="H11:H23" xr:uid="{81A5C303-8395-432E-9646-B9DD2701E5EC}"/>
    <dataValidation type="list" allowBlank="1" showInputMessage="1" showErrorMessage="1" sqref="E11:E23" xr:uid="{8CD34B59-A6E4-47BB-BDDD-4E33080EF5F1}">
      <formula1>"Editorial,1/Technical Low,2/Technical Medium,3/Technical High,4/Technical Critical,Not Categorized"</formula1>
    </dataValidation>
    <dataValidation type="list" allowBlank="1" sqref="F11:F23" xr:uid="{D8B39189-E766-4E0F-ABD5-8A8004EC3C5B}">
      <formula1>"No,Yes - doesn't need to wait for erratum,Yes - tied to spec change,Not Reviewed"</formula1>
    </dataValidation>
    <dataValidation type="list" allowBlank="1" showInputMessage="1" showErrorMessage="1" sqref="G11:G23" xr:uid="{01E2F04E-5639-46E0-BF24-282EE4326808}">
      <formula1>"1,2,3,4,Not Categorized"</formula1>
    </dataValidation>
    <dataValidation type="list" allowBlank="1" sqref="I11:I23" xr:uid="{18903AC2-D3DD-4048-A85E-C659E516B764}">
      <formula1>"Open,Approved,Rejected,Released"</formula1>
    </dataValidation>
  </dataValidation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J85"/>
  <sheetViews>
    <sheetView zoomScaleNormal="100" workbookViewId="0"/>
  </sheetViews>
  <sheetFormatPr defaultColWidth="14.3984375" defaultRowHeight="15.75" customHeight="1" x14ac:dyDescent="0.35"/>
  <cols>
    <col min="1" max="1" width="14.53125" style="1" customWidth="1"/>
    <col min="2" max="2" width="23.5312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5" customWidth="1"/>
  </cols>
  <sheetData>
    <row r="1" spans="1:10" ht="28.5" customHeight="1" thickBot="1" x14ac:dyDescent="0.65">
      <c r="A1" s="19" t="s">
        <v>40</v>
      </c>
      <c r="B1" s="25"/>
      <c r="C1" s="25"/>
      <c r="D1" s="3"/>
      <c r="E1" s="3"/>
      <c r="F1" s="28"/>
      <c r="G1" s="28"/>
      <c r="H1" s="28"/>
      <c r="I1" s="28"/>
      <c r="J1" s="3"/>
    </row>
    <row r="2" spans="1:10" ht="66.75" customHeight="1" thickBot="1" x14ac:dyDescent="0.4">
      <c r="A2" s="163" t="s">
        <v>539</v>
      </c>
      <c r="B2" s="164"/>
      <c r="C2" s="164"/>
      <c r="D2" s="164"/>
      <c r="E2" s="164"/>
      <c r="F2" s="164"/>
      <c r="G2" s="164"/>
      <c r="H2" s="164"/>
      <c r="I2" s="165"/>
    </row>
    <row r="3" spans="1:10" ht="51.95" customHeight="1" thickBot="1" x14ac:dyDescent="0.4">
      <c r="A3" s="163" t="s">
        <v>540</v>
      </c>
      <c r="B3" s="164"/>
      <c r="C3" s="164"/>
      <c r="D3" s="164"/>
      <c r="E3" s="164"/>
      <c r="F3" s="164"/>
      <c r="G3" s="164"/>
      <c r="H3" s="164"/>
      <c r="I3" s="165"/>
      <c r="J3" s="121"/>
    </row>
    <row r="4" spans="1:10" s="5" customFormat="1" ht="30.2" customHeight="1" thickBot="1" x14ac:dyDescent="0.5">
      <c r="A4" s="30" t="s">
        <v>8</v>
      </c>
      <c r="B4" s="31" t="s">
        <v>6</v>
      </c>
      <c r="C4" s="30" t="s">
        <v>541</v>
      </c>
      <c r="D4" s="175" t="s">
        <v>9</v>
      </c>
      <c r="E4" s="176"/>
      <c r="F4" s="177"/>
      <c r="G4" s="175" t="s">
        <v>550</v>
      </c>
      <c r="H4" s="176"/>
      <c r="I4" s="177"/>
      <c r="J4" s="121"/>
    </row>
    <row r="5" spans="1:10" s="5" customFormat="1" ht="127.5" customHeight="1" thickBot="1" x14ac:dyDescent="0.5">
      <c r="A5" s="24" t="s">
        <v>32</v>
      </c>
      <c r="B5" s="24">
        <v>39188</v>
      </c>
      <c r="C5" s="94" t="s">
        <v>14</v>
      </c>
      <c r="D5" s="178" t="s">
        <v>33</v>
      </c>
      <c r="E5" s="179"/>
      <c r="F5" s="180"/>
      <c r="G5" s="181" t="s">
        <v>89</v>
      </c>
      <c r="H5" s="179"/>
      <c r="I5" s="180"/>
      <c r="J5" s="29"/>
    </row>
    <row r="6" spans="1:10" s="5" customFormat="1" ht="154.5" customHeight="1" thickBot="1" x14ac:dyDescent="0.5">
      <c r="A6" s="24" t="s">
        <v>34</v>
      </c>
      <c r="B6" s="24">
        <v>39625</v>
      </c>
      <c r="C6" s="94" t="s">
        <v>556</v>
      </c>
      <c r="D6" s="181" t="s">
        <v>54</v>
      </c>
      <c r="E6" s="182"/>
      <c r="F6" s="183"/>
      <c r="G6" s="181" t="s">
        <v>90</v>
      </c>
      <c r="H6" s="182"/>
      <c r="I6" s="183"/>
      <c r="J6" s="29"/>
    </row>
    <row r="7" spans="1:10" s="5" customFormat="1" ht="40.5" customHeight="1" thickBot="1" x14ac:dyDescent="0.5">
      <c r="A7" s="24" t="s">
        <v>35</v>
      </c>
      <c r="B7" s="24">
        <v>41114</v>
      </c>
      <c r="C7" s="24" t="s">
        <v>15</v>
      </c>
      <c r="D7" s="181" t="s">
        <v>38</v>
      </c>
      <c r="E7" s="182"/>
      <c r="F7" s="183"/>
      <c r="G7" s="181" t="s">
        <v>638</v>
      </c>
      <c r="H7" s="182"/>
      <c r="I7" s="183"/>
      <c r="J7" s="29"/>
    </row>
    <row r="8" spans="1:10" s="5" customFormat="1" ht="14.65" thickBot="1" x14ac:dyDescent="0.5">
      <c r="A8" s="95" t="s">
        <v>10</v>
      </c>
      <c r="B8" s="94">
        <v>45566</v>
      </c>
      <c r="C8" s="94" t="s">
        <v>15</v>
      </c>
      <c r="D8" s="188" t="s">
        <v>591</v>
      </c>
      <c r="E8" s="189"/>
      <c r="F8" s="190"/>
      <c r="G8" s="188" t="s">
        <v>92</v>
      </c>
      <c r="H8" s="189"/>
      <c r="I8" s="190"/>
      <c r="J8" s="137"/>
    </row>
    <row r="9" spans="1:10" s="5" customFormat="1" ht="63.4" customHeight="1" thickBot="1" x14ac:dyDescent="0.5">
      <c r="A9" s="95" t="s">
        <v>28</v>
      </c>
      <c r="B9" s="94">
        <v>41900</v>
      </c>
      <c r="C9" s="94" t="s">
        <v>556</v>
      </c>
      <c r="D9" s="184" t="s">
        <v>87</v>
      </c>
      <c r="E9" s="185"/>
      <c r="F9" s="186"/>
      <c r="G9" s="184" t="s">
        <v>93</v>
      </c>
      <c r="H9" s="185"/>
      <c r="I9" s="186"/>
      <c r="J9" s="137"/>
    </row>
    <row r="10" spans="1:10" s="5" customFormat="1" ht="12.75" customHeight="1" thickBot="1" x14ac:dyDescent="0.5">
      <c r="A10" s="95" t="s">
        <v>12</v>
      </c>
      <c r="B10" s="94">
        <v>42353</v>
      </c>
      <c r="C10" s="94" t="s">
        <v>556</v>
      </c>
      <c r="D10" s="188" t="s">
        <v>39</v>
      </c>
      <c r="E10" s="189"/>
      <c r="F10" s="190"/>
      <c r="G10" s="188" t="s">
        <v>92</v>
      </c>
      <c r="H10" s="189"/>
      <c r="I10" s="190"/>
      <c r="J10" s="137"/>
    </row>
    <row r="11" spans="1:10" s="5" customFormat="1" ht="12.4" customHeight="1" thickBot="1" x14ac:dyDescent="0.5">
      <c r="A11" s="95" t="s">
        <v>13</v>
      </c>
      <c r="B11" s="94">
        <v>43480</v>
      </c>
      <c r="C11" s="95" t="s">
        <v>15</v>
      </c>
      <c r="D11" s="188" t="s">
        <v>115</v>
      </c>
      <c r="E11" s="189"/>
      <c r="F11" s="190"/>
      <c r="G11" s="188" t="s">
        <v>92</v>
      </c>
      <c r="H11" s="189"/>
      <c r="I11" s="190"/>
      <c r="J11" s="137"/>
    </row>
    <row r="12" spans="1:10" s="5" customFormat="1" ht="26.25" customHeight="1" thickBot="1" x14ac:dyDescent="0.5">
      <c r="A12" s="95" t="s">
        <v>11</v>
      </c>
      <c r="B12" s="94">
        <v>45566</v>
      </c>
      <c r="C12" s="138" t="s">
        <v>15</v>
      </c>
      <c r="D12" s="184" t="s">
        <v>592</v>
      </c>
      <c r="E12" s="185"/>
      <c r="F12" s="185"/>
      <c r="G12" s="191" t="s">
        <v>92</v>
      </c>
      <c r="H12" s="192"/>
      <c r="I12" s="193"/>
      <c r="J12" s="137"/>
    </row>
    <row r="13" spans="1:10" s="5" customFormat="1" ht="14.25" x14ac:dyDescent="0.45">
      <c r="A13" s="137"/>
      <c r="B13" s="137"/>
      <c r="C13" s="137"/>
      <c r="D13" s="137"/>
      <c r="E13" s="137"/>
      <c r="F13" s="137"/>
      <c r="G13" s="137"/>
      <c r="H13" s="137"/>
      <c r="I13" s="137"/>
      <c r="J13" s="137"/>
    </row>
    <row r="14" spans="1:10" ht="21" customHeight="1" x14ac:dyDescent="0.4">
      <c r="A14" s="187" t="s">
        <v>7</v>
      </c>
      <c r="B14" s="187"/>
      <c r="C14" s="134"/>
      <c r="D14" s="135"/>
      <c r="E14" s="135"/>
      <c r="F14" s="136"/>
      <c r="G14" s="136"/>
      <c r="H14" s="136"/>
      <c r="I14" s="136"/>
      <c r="J14" s="135"/>
    </row>
    <row r="15" spans="1:10" ht="21" customHeight="1" thickBot="1" x14ac:dyDescent="0.45">
      <c r="A15" s="132" t="s">
        <v>660</v>
      </c>
      <c r="B15" s="133"/>
      <c r="C15" s="134"/>
      <c r="D15" s="132"/>
      <c r="E15" s="135"/>
      <c r="F15" s="136"/>
      <c r="G15" s="136"/>
      <c r="H15" s="136"/>
      <c r="I15" s="136"/>
      <c r="J15" s="135"/>
    </row>
    <row r="16" spans="1:10" s="2" customFormat="1" ht="34.700000000000003" customHeight="1" thickBot="1" x14ac:dyDescent="0.45">
      <c r="A16" s="32" t="s">
        <v>208</v>
      </c>
      <c r="B16" s="32" t="s">
        <v>661</v>
      </c>
      <c r="C16" s="32" t="s">
        <v>605</v>
      </c>
      <c r="D16" s="33" t="s">
        <v>263</v>
      </c>
      <c r="E16" s="33" t="s">
        <v>662</v>
      </c>
      <c r="F16" s="34" t="s">
        <v>0</v>
      </c>
      <c r="G16" s="33" t="s">
        <v>663</v>
      </c>
      <c r="H16" s="34" t="s">
        <v>664</v>
      </c>
      <c r="I16" s="34" t="s">
        <v>3</v>
      </c>
      <c r="J16" s="33" t="s">
        <v>2</v>
      </c>
    </row>
    <row r="17" spans="1:10" s="2" customFormat="1" ht="25.9" thickBot="1" x14ac:dyDescent="0.45">
      <c r="A17" s="35">
        <f>HYPERLINK("https://bluetooth.atlassian.net/browse/ES-894",894)</f>
        <v>894</v>
      </c>
      <c r="B17" s="93" t="s">
        <v>603</v>
      </c>
      <c r="C17" s="139">
        <v>1</v>
      </c>
      <c r="D17" s="93" t="s">
        <v>41</v>
      </c>
      <c r="E17" s="116" t="s">
        <v>188</v>
      </c>
      <c r="F17" s="118" t="s">
        <v>601</v>
      </c>
      <c r="G17" s="93" t="s">
        <v>188</v>
      </c>
      <c r="H17" s="35">
        <f>HYPERLINK("https://bluetooth.atlassian.net/browse/ES-2706",2706)</f>
        <v>2706</v>
      </c>
      <c r="I17" s="93" t="s">
        <v>42</v>
      </c>
      <c r="J17" s="93" t="s">
        <v>46</v>
      </c>
    </row>
    <row r="18" spans="1:10" s="2" customFormat="1" ht="25.9" thickBot="1" x14ac:dyDescent="0.45">
      <c r="A18" s="37">
        <f>HYPERLINK("https://bluetooth.atlassian.net/browse/ES-2077",2077)</f>
        <v>2077</v>
      </c>
      <c r="B18" s="54" t="s">
        <v>603</v>
      </c>
      <c r="C18" s="140">
        <v>1</v>
      </c>
      <c r="D18" s="54" t="s">
        <v>36</v>
      </c>
      <c r="E18" s="117" t="s">
        <v>5</v>
      </c>
      <c r="F18" s="112" t="s">
        <v>1</v>
      </c>
      <c r="G18" s="141"/>
      <c r="H18" s="39"/>
      <c r="I18" s="119"/>
      <c r="J18" s="54"/>
    </row>
    <row r="19" spans="1:10" s="2" customFormat="1" ht="25.9" thickBot="1" x14ac:dyDescent="0.45">
      <c r="A19" s="35">
        <f>HYPERLINK("https://bluetooth.atlassian.net/browse/ES-2079",2079)</f>
        <v>2079</v>
      </c>
      <c r="B19" s="93" t="s">
        <v>603</v>
      </c>
      <c r="C19" s="139">
        <v>1</v>
      </c>
      <c r="D19" s="93" t="s">
        <v>37</v>
      </c>
      <c r="E19" s="116" t="s">
        <v>5</v>
      </c>
      <c r="F19" s="118" t="s">
        <v>1</v>
      </c>
      <c r="G19" s="93"/>
      <c r="H19" s="36"/>
      <c r="I19" s="93"/>
      <c r="J19" s="93"/>
    </row>
    <row r="20" spans="1:10" s="2" customFormat="1" ht="25.9" thickBot="1" x14ac:dyDescent="0.45">
      <c r="A20" s="37">
        <f>HYPERLINK("https://bluetooth.atlassian.net/browse/ES-2255",2255)</f>
        <v>2255</v>
      </c>
      <c r="B20" s="54" t="s">
        <v>603</v>
      </c>
      <c r="C20" s="92">
        <v>1.3</v>
      </c>
      <c r="D20" s="54" t="s">
        <v>44</v>
      </c>
      <c r="E20" s="117" t="s">
        <v>5</v>
      </c>
      <c r="F20" s="112" t="s">
        <v>1</v>
      </c>
      <c r="G20" s="141"/>
      <c r="H20" s="38"/>
      <c r="I20" s="119"/>
      <c r="J20" s="54"/>
    </row>
    <row r="21" spans="1:10" s="2" customFormat="1" ht="25.9" thickBot="1" x14ac:dyDescent="0.45">
      <c r="A21" s="35">
        <f>HYPERLINK("https://bluetooth.atlassian.net/browse/ES-2274",2274)</f>
        <v>2274</v>
      </c>
      <c r="B21" s="93" t="s">
        <v>603</v>
      </c>
      <c r="C21" s="93">
        <v>1.3</v>
      </c>
      <c r="D21" s="93" t="s">
        <v>45</v>
      </c>
      <c r="E21" s="116" t="s">
        <v>188</v>
      </c>
      <c r="F21" s="118" t="s">
        <v>601</v>
      </c>
      <c r="G21" s="93" t="s">
        <v>188</v>
      </c>
      <c r="H21" s="35">
        <f>HYPERLINK("https://bluetooth.atlassian.net/browse/ES-2697",2697)</f>
        <v>2697</v>
      </c>
      <c r="I21" s="93" t="s">
        <v>42</v>
      </c>
      <c r="J21" s="93" t="s">
        <v>642</v>
      </c>
    </row>
    <row r="22" spans="1:10" s="2" customFormat="1" ht="25.9" thickBot="1" x14ac:dyDescent="0.45">
      <c r="A22" s="37">
        <f>HYPERLINK("https://bluetooth.atlassian.net/browse/ES-2275",2275)</f>
        <v>2275</v>
      </c>
      <c r="B22" s="54" t="s">
        <v>603</v>
      </c>
      <c r="C22" s="92">
        <v>1.3</v>
      </c>
      <c r="D22" s="54" t="s">
        <v>47</v>
      </c>
      <c r="E22" s="117" t="s">
        <v>5</v>
      </c>
      <c r="F22" s="112" t="s">
        <v>1</v>
      </c>
      <c r="G22" s="141"/>
      <c r="H22" s="38"/>
      <c r="I22" s="119"/>
      <c r="J22" s="54"/>
    </row>
    <row r="23" spans="1:10" s="2" customFormat="1" ht="25.9" thickBot="1" x14ac:dyDescent="0.45">
      <c r="A23" s="35">
        <f>HYPERLINK("https://bluetooth.atlassian.net/browse/ES-2290",2290)</f>
        <v>2290</v>
      </c>
      <c r="B23" s="93" t="s">
        <v>603</v>
      </c>
      <c r="C23" s="93">
        <v>1.3</v>
      </c>
      <c r="D23" s="93" t="s">
        <v>48</v>
      </c>
      <c r="E23" s="116" t="s">
        <v>5</v>
      </c>
      <c r="F23" s="118" t="s">
        <v>1</v>
      </c>
      <c r="G23" s="93"/>
      <c r="H23" s="36"/>
      <c r="I23" s="93"/>
      <c r="J23" s="93"/>
    </row>
    <row r="24" spans="1:10" s="2" customFormat="1" ht="25.9" thickBot="1" x14ac:dyDescent="0.45">
      <c r="A24" s="37">
        <f>HYPERLINK("https://bluetooth.atlassian.net/browse/ES-2294",2294)</f>
        <v>2294</v>
      </c>
      <c r="B24" s="54" t="s">
        <v>603</v>
      </c>
      <c r="C24" s="92">
        <v>1.3</v>
      </c>
      <c r="D24" s="54" t="s">
        <v>49</v>
      </c>
      <c r="E24" s="117" t="s">
        <v>5</v>
      </c>
      <c r="F24" s="112" t="s">
        <v>1</v>
      </c>
      <c r="G24" s="141"/>
      <c r="H24" s="38"/>
      <c r="I24" s="119"/>
      <c r="J24" s="54"/>
    </row>
    <row r="25" spans="1:10" s="2" customFormat="1" ht="25.9" thickBot="1" x14ac:dyDescent="0.45">
      <c r="A25" s="35">
        <f>HYPERLINK("https://bluetooth.atlassian.net/browse/ES-2374",2374)</f>
        <v>2374</v>
      </c>
      <c r="B25" s="93" t="s">
        <v>603</v>
      </c>
      <c r="C25" s="93">
        <v>1.3</v>
      </c>
      <c r="D25" s="93" t="s">
        <v>50</v>
      </c>
      <c r="E25" s="116" t="s">
        <v>5</v>
      </c>
      <c r="F25" s="118" t="s">
        <v>1</v>
      </c>
      <c r="G25" s="93"/>
      <c r="H25" s="36"/>
      <c r="I25" s="93"/>
      <c r="J25" s="93"/>
    </row>
    <row r="26" spans="1:10" s="2" customFormat="1" ht="27" customHeight="1" thickBot="1" x14ac:dyDescent="0.45">
      <c r="A26" s="37">
        <f>HYPERLINK("https://bluetooth.atlassian.net/browse/ES-2436",2436)</f>
        <v>2436</v>
      </c>
      <c r="B26" s="54" t="s">
        <v>603</v>
      </c>
      <c r="C26" s="92">
        <v>1.3</v>
      </c>
      <c r="D26" s="54" t="s">
        <v>51</v>
      </c>
      <c r="E26" s="117" t="s">
        <v>188</v>
      </c>
      <c r="F26" s="112" t="s">
        <v>601</v>
      </c>
      <c r="G26" s="115" t="s">
        <v>188</v>
      </c>
      <c r="H26" s="45">
        <f>HYPERLINK("https://bluetooth.atlassian.net/browse/ES-2719",2719)</f>
        <v>2719</v>
      </c>
      <c r="I26" s="119" t="s">
        <v>42</v>
      </c>
      <c r="J26" s="54" t="s">
        <v>52</v>
      </c>
    </row>
    <row r="27" spans="1:10" s="2" customFormat="1" ht="25.9" thickBot="1" x14ac:dyDescent="0.45">
      <c r="A27" s="35">
        <f>HYPERLINK("https://bluetooth.atlassian.net/browse/ES-2497",2497)</f>
        <v>2497</v>
      </c>
      <c r="B27" s="93" t="s">
        <v>603</v>
      </c>
      <c r="C27" s="93">
        <v>1.3</v>
      </c>
      <c r="D27" s="93" t="s">
        <v>53</v>
      </c>
      <c r="E27" s="116" t="s">
        <v>188</v>
      </c>
      <c r="F27" s="118" t="s">
        <v>601</v>
      </c>
      <c r="G27" s="93" t="s">
        <v>188</v>
      </c>
      <c r="H27" s="35">
        <f>HYPERLINK("https://bluetooth.atlassian.net/browse/ES-2503",2503)</f>
        <v>2503</v>
      </c>
      <c r="I27" s="93" t="s">
        <v>42</v>
      </c>
      <c r="J27" s="93" t="s">
        <v>641</v>
      </c>
    </row>
    <row r="28" spans="1:10" s="2" customFormat="1" ht="25.9" thickBot="1" x14ac:dyDescent="0.45">
      <c r="A28" s="45">
        <f>HYPERLINK("https://bluetooth.atlassian.net/browse/ES-2549",2549)</f>
        <v>2549</v>
      </c>
      <c r="B28" s="54" t="s">
        <v>603</v>
      </c>
      <c r="C28" s="92">
        <v>1.3</v>
      </c>
      <c r="D28" s="92" t="s">
        <v>55</v>
      </c>
      <c r="E28" s="117" t="s">
        <v>188</v>
      </c>
      <c r="F28" s="112" t="s">
        <v>1</v>
      </c>
      <c r="G28" s="141"/>
      <c r="H28" s="47"/>
      <c r="I28" s="119"/>
      <c r="J28" s="92"/>
    </row>
    <row r="29" spans="1:10" s="2" customFormat="1" ht="25.9" thickBot="1" x14ac:dyDescent="0.45">
      <c r="A29" s="35">
        <f>HYPERLINK("https://bluetooth.atlassian.net/browse/ES-2560",2560)</f>
        <v>2560</v>
      </c>
      <c r="B29" s="93" t="s">
        <v>603</v>
      </c>
      <c r="C29" s="93">
        <v>1.3</v>
      </c>
      <c r="D29" s="93" t="s">
        <v>56</v>
      </c>
      <c r="E29" s="116" t="s">
        <v>188</v>
      </c>
      <c r="F29" s="118" t="s">
        <v>1</v>
      </c>
      <c r="G29" s="93"/>
      <c r="H29" s="36"/>
      <c r="I29" s="93"/>
      <c r="J29" s="93"/>
    </row>
    <row r="30" spans="1:10" s="2" customFormat="1" ht="25.9" thickBot="1" x14ac:dyDescent="0.45">
      <c r="A30" s="45">
        <f>HYPERLINK("https://bluetooth.atlassian.net/browse/ES-2572",2572)</f>
        <v>2572</v>
      </c>
      <c r="B30" s="54" t="s">
        <v>603</v>
      </c>
      <c r="C30" s="92">
        <v>1.3</v>
      </c>
      <c r="D30" s="92" t="s">
        <v>57</v>
      </c>
      <c r="E30" s="117" t="s">
        <v>188</v>
      </c>
      <c r="F30" s="112" t="s">
        <v>1</v>
      </c>
      <c r="G30" s="141"/>
      <c r="H30" s="47"/>
      <c r="I30" s="119"/>
      <c r="J30" s="92"/>
    </row>
    <row r="31" spans="1:10" s="2" customFormat="1" ht="25.9" thickBot="1" x14ac:dyDescent="0.45">
      <c r="A31" s="35">
        <f>HYPERLINK("https://bluetooth.atlassian.net/browse/ES-2588",2588)</f>
        <v>2588</v>
      </c>
      <c r="B31" s="93" t="s">
        <v>603</v>
      </c>
      <c r="C31" s="93">
        <v>1.3</v>
      </c>
      <c r="D31" s="93" t="s">
        <v>58</v>
      </c>
      <c r="E31" s="116" t="s">
        <v>188</v>
      </c>
      <c r="F31" s="118" t="s">
        <v>1</v>
      </c>
      <c r="G31" s="93"/>
      <c r="H31" s="36"/>
      <c r="I31" s="93"/>
      <c r="J31" s="93"/>
    </row>
    <row r="32" spans="1:10" s="2" customFormat="1" ht="25.9" thickBot="1" x14ac:dyDescent="0.45">
      <c r="A32" s="45">
        <f>HYPERLINK("https://bluetooth.atlassian.net/browse/ES-2685",2685)</f>
        <v>2685</v>
      </c>
      <c r="B32" s="54" t="s">
        <v>603</v>
      </c>
      <c r="C32" s="92">
        <v>1.4</v>
      </c>
      <c r="D32" s="92" t="s">
        <v>59</v>
      </c>
      <c r="E32" s="117" t="s">
        <v>188</v>
      </c>
      <c r="F32" s="112" t="s">
        <v>601</v>
      </c>
      <c r="G32" s="115" t="s">
        <v>188</v>
      </c>
      <c r="H32" s="45">
        <f>HYPERLINK("https://bluetooth.atlassian.net/browse/ES-2697",2697)</f>
        <v>2697</v>
      </c>
      <c r="I32" s="119" t="s">
        <v>42</v>
      </c>
      <c r="J32" s="92" t="s">
        <v>642</v>
      </c>
    </row>
    <row r="33" spans="1:10" s="2" customFormat="1" ht="27" customHeight="1" thickBot="1" x14ac:dyDescent="0.45">
      <c r="A33" s="35">
        <f>HYPERLINK("https://bluetooth.atlassian.net/browse/ES-2687",2687)</f>
        <v>2687</v>
      </c>
      <c r="B33" s="93" t="s">
        <v>603</v>
      </c>
      <c r="C33" s="93">
        <v>1.4</v>
      </c>
      <c r="D33" s="93" t="s">
        <v>60</v>
      </c>
      <c r="E33" s="116" t="s">
        <v>188</v>
      </c>
      <c r="F33" s="118" t="s">
        <v>1</v>
      </c>
      <c r="G33" s="93"/>
      <c r="H33" s="36"/>
      <c r="I33" s="93"/>
      <c r="J33" s="93"/>
    </row>
    <row r="34" spans="1:10" s="2" customFormat="1" ht="25.9" thickBot="1" x14ac:dyDescent="0.45">
      <c r="A34" s="45">
        <f>HYPERLINK("https://bluetooth.atlassian.net/browse/ES-2688",2688)</f>
        <v>2688</v>
      </c>
      <c r="B34" s="54" t="s">
        <v>603</v>
      </c>
      <c r="C34" s="92">
        <v>1.4</v>
      </c>
      <c r="D34" s="92" t="s">
        <v>61</v>
      </c>
      <c r="E34" s="117" t="s">
        <v>5</v>
      </c>
      <c r="F34" s="112" t="s">
        <v>1</v>
      </c>
      <c r="G34" s="141"/>
      <c r="H34" s="47"/>
      <c r="I34" s="119"/>
      <c r="J34" s="92"/>
    </row>
    <row r="35" spans="1:10" s="2" customFormat="1" ht="25.9" thickBot="1" x14ac:dyDescent="0.45">
      <c r="A35" s="35">
        <f>HYPERLINK("https://bluetooth.atlassian.net/browse/ES-2698",2698)</f>
        <v>2698</v>
      </c>
      <c r="B35" s="93" t="s">
        <v>603</v>
      </c>
      <c r="C35" s="93">
        <v>1.4</v>
      </c>
      <c r="D35" s="93" t="s">
        <v>62</v>
      </c>
      <c r="E35" s="116" t="s">
        <v>188</v>
      </c>
      <c r="F35" s="118" t="s">
        <v>1</v>
      </c>
      <c r="G35" s="93"/>
      <c r="H35" s="36"/>
      <c r="I35" s="93"/>
      <c r="J35" s="93"/>
    </row>
    <row r="36" spans="1:10" s="2" customFormat="1" ht="25.9" thickBot="1" x14ac:dyDescent="0.45">
      <c r="A36" s="45">
        <f>HYPERLINK("https://bluetooth.atlassian.net/browse/ES-2707",2707)</f>
        <v>2707</v>
      </c>
      <c r="B36" s="54" t="s">
        <v>603</v>
      </c>
      <c r="C36" s="92">
        <v>1.4</v>
      </c>
      <c r="D36" s="92" t="s">
        <v>63</v>
      </c>
      <c r="E36" s="117" t="s">
        <v>5</v>
      </c>
      <c r="F36" s="112" t="s">
        <v>1</v>
      </c>
      <c r="G36" s="141"/>
      <c r="H36" s="47"/>
      <c r="I36" s="119"/>
      <c r="J36" s="92"/>
    </row>
    <row r="37" spans="1:10" s="2" customFormat="1" ht="25.9" thickBot="1" x14ac:dyDescent="0.45">
      <c r="A37" s="35">
        <f>HYPERLINK("https://bluetooth.atlassian.net/browse/ES-2708",2708)</f>
        <v>2708</v>
      </c>
      <c r="B37" s="93" t="s">
        <v>603</v>
      </c>
      <c r="C37" s="93">
        <v>1.4</v>
      </c>
      <c r="D37" s="93" t="s">
        <v>64</v>
      </c>
      <c r="E37" s="116" t="s">
        <v>188</v>
      </c>
      <c r="F37" s="118" t="s">
        <v>1</v>
      </c>
      <c r="G37" s="93"/>
      <c r="H37" s="36"/>
      <c r="I37" s="93"/>
      <c r="J37" s="93"/>
    </row>
    <row r="38" spans="1:10" s="2" customFormat="1" ht="27" customHeight="1" thickBot="1" x14ac:dyDescent="0.45">
      <c r="A38" s="45">
        <f>HYPERLINK("https://bluetooth.atlassian.net/browse/ES-2715",2715)</f>
        <v>2715</v>
      </c>
      <c r="B38" s="54" t="s">
        <v>603</v>
      </c>
      <c r="C38" s="92">
        <v>1.4</v>
      </c>
      <c r="D38" s="92" t="s">
        <v>65</v>
      </c>
      <c r="E38" s="117" t="s">
        <v>188</v>
      </c>
      <c r="F38" s="112" t="s">
        <v>1</v>
      </c>
      <c r="G38" s="141"/>
      <c r="H38" s="47"/>
      <c r="I38" s="119"/>
      <c r="J38" s="92"/>
    </row>
    <row r="39" spans="1:10" s="2" customFormat="1" ht="25.9" thickBot="1" x14ac:dyDescent="0.45">
      <c r="A39" s="35">
        <f>HYPERLINK("https://bluetooth.atlassian.net/browse/ES-2720",2720)</f>
        <v>2720</v>
      </c>
      <c r="B39" s="93" t="s">
        <v>603</v>
      </c>
      <c r="C39" s="93">
        <v>1.4</v>
      </c>
      <c r="D39" s="93" t="s">
        <v>66</v>
      </c>
      <c r="E39" s="116" t="s">
        <v>188</v>
      </c>
      <c r="F39" s="118" t="s">
        <v>1</v>
      </c>
      <c r="G39" s="93"/>
      <c r="H39" s="36"/>
      <c r="I39" s="93"/>
      <c r="J39" s="93"/>
    </row>
    <row r="40" spans="1:10" s="2" customFormat="1" ht="27" customHeight="1" thickBot="1" x14ac:dyDescent="0.45">
      <c r="A40" s="45">
        <f>HYPERLINK("https://bluetooth.atlassian.net/browse/ES-2740",2740)</f>
        <v>2740</v>
      </c>
      <c r="B40" s="54" t="s">
        <v>603</v>
      </c>
      <c r="C40" s="92">
        <v>1.4</v>
      </c>
      <c r="D40" s="92" t="s">
        <v>67</v>
      </c>
      <c r="E40" s="117" t="s">
        <v>188</v>
      </c>
      <c r="F40" s="112" t="s">
        <v>1</v>
      </c>
      <c r="G40" s="141"/>
      <c r="H40" s="47"/>
      <c r="I40" s="119"/>
      <c r="J40" s="92"/>
    </row>
    <row r="41" spans="1:10" s="2" customFormat="1" ht="25.9" thickBot="1" x14ac:dyDescent="0.45">
      <c r="A41" s="35">
        <f>HYPERLINK("https://bluetooth.atlassian.net/browse/ES-2761",2761)</f>
        <v>2761</v>
      </c>
      <c r="B41" s="93" t="s">
        <v>603</v>
      </c>
      <c r="C41" s="93">
        <v>1.4</v>
      </c>
      <c r="D41" s="93" t="s">
        <v>68</v>
      </c>
      <c r="E41" s="116" t="s">
        <v>5</v>
      </c>
      <c r="F41" s="118" t="s">
        <v>1</v>
      </c>
      <c r="G41" s="93"/>
      <c r="H41" s="36"/>
      <c r="I41" s="93"/>
      <c r="J41" s="93"/>
    </row>
    <row r="42" spans="1:10" s="2" customFormat="1" ht="25.9" thickBot="1" x14ac:dyDescent="0.45">
      <c r="A42" s="45">
        <f>HYPERLINK("https://bluetooth.atlassian.net/browse/ES-2762",2762)</f>
        <v>2762</v>
      </c>
      <c r="B42" s="54" t="s">
        <v>603</v>
      </c>
      <c r="C42" s="92">
        <v>1.4</v>
      </c>
      <c r="D42" s="92" t="s">
        <v>69</v>
      </c>
      <c r="E42" s="117" t="s">
        <v>188</v>
      </c>
      <c r="F42" s="112" t="s">
        <v>1</v>
      </c>
      <c r="G42" s="141"/>
      <c r="H42" s="47"/>
      <c r="I42" s="119"/>
      <c r="J42" s="92"/>
    </row>
    <row r="43" spans="1:10" s="2" customFormat="1" ht="25.9" thickBot="1" x14ac:dyDescent="0.45">
      <c r="A43" s="35">
        <f>HYPERLINK("https://bluetooth.atlassian.net/browse/ES-2763",2763)</f>
        <v>2763</v>
      </c>
      <c r="B43" s="93" t="s">
        <v>603</v>
      </c>
      <c r="C43" s="93">
        <v>1.4</v>
      </c>
      <c r="D43" s="93" t="s">
        <v>70</v>
      </c>
      <c r="E43" s="116" t="s">
        <v>188</v>
      </c>
      <c r="F43" s="118" t="s">
        <v>1</v>
      </c>
      <c r="G43" s="93"/>
      <c r="H43" s="36"/>
      <c r="I43" s="93"/>
      <c r="J43" s="93"/>
    </row>
    <row r="44" spans="1:10" s="2" customFormat="1" ht="25.9" thickBot="1" x14ac:dyDescent="0.45">
      <c r="A44" s="45">
        <f>HYPERLINK("https://bluetooth.atlassian.net/browse/ES-2786",2786)</f>
        <v>2786</v>
      </c>
      <c r="B44" s="54" t="s">
        <v>603</v>
      </c>
      <c r="C44" s="92">
        <v>1.4</v>
      </c>
      <c r="D44" s="92" t="s">
        <v>71</v>
      </c>
      <c r="E44" s="117" t="s">
        <v>5</v>
      </c>
      <c r="F44" s="112" t="s">
        <v>1</v>
      </c>
      <c r="G44" s="141"/>
      <c r="H44" s="47"/>
      <c r="I44" s="119"/>
      <c r="J44" s="92"/>
    </row>
    <row r="45" spans="1:10" s="2" customFormat="1" ht="25.9" thickBot="1" x14ac:dyDescent="0.45">
      <c r="A45" s="35">
        <f>HYPERLINK("https://bluetooth.atlassian.net/browse/ES-2814",2814)</f>
        <v>2814</v>
      </c>
      <c r="B45" s="93" t="s">
        <v>603</v>
      </c>
      <c r="C45" s="93">
        <v>1.4</v>
      </c>
      <c r="D45" s="93" t="s">
        <v>72</v>
      </c>
      <c r="E45" s="116" t="s">
        <v>188</v>
      </c>
      <c r="F45" s="118" t="s">
        <v>601</v>
      </c>
      <c r="G45" s="93" t="s">
        <v>188</v>
      </c>
      <c r="H45" s="35">
        <f>HYPERLINK("https://bluetooth.atlassian.net/browse/ES-2706",2706)</f>
        <v>2706</v>
      </c>
      <c r="I45" s="93" t="s">
        <v>42</v>
      </c>
      <c r="J45" s="93" t="s">
        <v>43</v>
      </c>
    </row>
    <row r="46" spans="1:10" s="2" customFormat="1" ht="25.9" thickBot="1" x14ac:dyDescent="0.45">
      <c r="A46" s="45">
        <f>HYPERLINK("https://bluetooth.atlassian.net/browse/ES-2932",2932)</f>
        <v>2932</v>
      </c>
      <c r="B46" s="54" t="s">
        <v>603</v>
      </c>
      <c r="C46" s="92">
        <v>1.4</v>
      </c>
      <c r="D46" s="92" t="s">
        <v>73</v>
      </c>
      <c r="E46" s="117" t="s">
        <v>188</v>
      </c>
      <c r="F46" s="112" t="s">
        <v>1</v>
      </c>
      <c r="G46" s="141"/>
      <c r="H46" s="47"/>
      <c r="I46" s="119"/>
      <c r="J46" s="92"/>
    </row>
    <row r="47" spans="1:10" s="2" customFormat="1" ht="25.9" thickBot="1" x14ac:dyDescent="0.45">
      <c r="A47" s="35">
        <f>HYPERLINK("https://bluetooth.atlassian.net/browse/ES-2961",2961)</f>
        <v>2961</v>
      </c>
      <c r="B47" s="93" t="s">
        <v>603</v>
      </c>
      <c r="C47" s="93">
        <v>1.4</v>
      </c>
      <c r="D47" s="93" t="s">
        <v>74</v>
      </c>
      <c r="E47" s="116" t="s">
        <v>188</v>
      </c>
      <c r="F47" s="118" t="s">
        <v>601</v>
      </c>
      <c r="G47" s="93" t="s">
        <v>188</v>
      </c>
      <c r="H47" s="35">
        <f>HYPERLINK("https://bluetooth.atlassian.net/browse/ES-2738",2738)</f>
        <v>2738</v>
      </c>
      <c r="I47" s="93" t="s">
        <v>42</v>
      </c>
      <c r="J47" s="93" t="s">
        <v>43</v>
      </c>
    </row>
    <row r="48" spans="1:10" s="2" customFormat="1" ht="38.65" thickBot="1" x14ac:dyDescent="0.45">
      <c r="A48" s="45">
        <f>HYPERLINK("https://bluetooth.atlassian.net/browse/ES-3155",3155)</f>
        <v>3155</v>
      </c>
      <c r="B48" s="54" t="s">
        <v>603</v>
      </c>
      <c r="C48" s="92">
        <v>1.4</v>
      </c>
      <c r="D48" s="92" t="s">
        <v>75</v>
      </c>
      <c r="E48" s="117" t="s">
        <v>188</v>
      </c>
      <c r="F48" s="112" t="s">
        <v>1</v>
      </c>
      <c r="G48" s="141"/>
      <c r="H48" s="47"/>
      <c r="I48" s="119"/>
      <c r="J48" s="92"/>
    </row>
    <row r="49" spans="1:10" s="2" customFormat="1" ht="13.5" customHeight="1" thickBot="1" x14ac:dyDescent="0.45">
      <c r="A49" s="35">
        <f>HYPERLINK("https://bluetooth.atlassian.net/browse/ES-3208",3208)</f>
        <v>3208</v>
      </c>
      <c r="B49" s="93" t="s">
        <v>603</v>
      </c>
      <c r="C49" s="93">
        <v>1.4</v>
      </c>
      <c r="D49" s="93" t="s">
        <v>76</v>
      </c>
      <c r="E49" s="116" t="s">
        <v>5</v>
      </c>
      <c r="F49" s="118" t="s">
        <v>1</v>
      </c>
      <c r="G49" s="93"/>
      <c r="H49" s="36"/>
      <c r="I49" s="93"/>
      <c r="J49" s="93"/>
    </row>
    <row r="50" spans="1:10" s="2" customFormat="1" ht="25.9" thickBot="1" x14ac:dyDescent="0.45">
      <c r="A50" s="45">
        <f>HYPERLINK("https://bluetooth.atlassian.net/browse/ES-3294",3294)</f>
        <v>3294</v>
      </c>
      <c r="B50" s="54" t="s">
        <v>603</v>
      </c>
      <c r="C50" s="92">
        <v>1.4</v>
      </c>
      <c r="D50" s="92" t="s">
        <v>77</v>
      </c>
      <c r="E50" s="117" t="s">
        <v>188</v>
      </c>
      <c r="F50" s="112" t="s">
        <v>1</v>
      </c>
      <c r="G50" s="141"/>
      <c r="H50" s="47"/>
      <c r="I50" s="119"/>
      <c r="J50" s="92"/>
    </row>
    <row r="51" spans="1:10" s="2" customFormat="1" ht="38.65" thickBot="1" x14ac:dyDescent="0.45">
      <c r="A51" s="35">
        <f>HYPERLINK("https://bluetooth.atlassian.net/browse/ES-3662",3662)</f>
        <v>3662</v>
      </c>
      <c r="B51" s="93" t="s">
        <v>603</v>
      </c>
      <c r="C51" s="93">
        <v>1.4</v>
      </c>
      <c r="D51" s="93" t="s">
        <v>78</v>
      </c>
      <c r="E51" s="116" t="s">
        <v>188</v>
      </c>
      <c r="F51" s="118" t="s">
        <v>604</v>
      </c>
      <c r="G51" s="93" t="s">
        <v>188</v>
      </c>
      <c r="H51" s="35">
        <f>HYPERLINK("https://bluetooth.atlassian.net/browse/ES-4962",4962)</f>
        <v>4962</v>
      </c>
      <c r="I51" s="93" t="s">
        <v>42</v>
      </c>
      <c r="J51" s="93" t="s">
        <v>80</v>
      </c>
    </row>
    <row r="52" spans="1:10" s="2" customFormat="1" ht="38.65" thickBot="1" x14ac:dyDescent="0.45">
      <c r="A52" s="45">
        <f>HYPERLINK("https://bluetooth.atlassian.net/browse/ES-3747",3747)</f>
        <v>3747</v>
      </c>
      <c r="B52" s="54" t="s">
        <v>603</v>
      </c>
      <c r="C52" s="92">
        <v>1.4</v>
      </c>
      <c r="D52" s="92" t="s">
        <v>83</v>
      </c>
      <c r="E52" s="117" t="s">
        <v>188</v>
      </c>
      <c r="F52" s="112" t="s">
        <v>604</v>
      </c>
      <c r="G52" s="115" t="s">
        <v>188</v>
      </c>
      <c r="H52" s="45">
        <f>HYPERLINK("https://bluetooth.atlassian.net/browse/ES-4964",4964)</f>
        <v>4964</v>
      </c>
      <c r="I52" s="119" t="s">
        <v>42</v>
      </c>
      <c r="J52" s="92" t="s">
        <v>82</v>
      </c>
    </row>
    <row r="53" spans="1:10" s="2" customFormat="1" ht="38.65" thickBot="1" x14ac:dyDescent="0.45">
      <c r="A53" s="35">
        <f>HYPERLINK("https://bluetooth.atlassian.net/browse/ES-4121",4121)</f>
        <v>4121</v>
      </c>
      <c r="B53" s="93" t="s">
        <v>603</v>
      </c>
      <c r="C53" s="93">
        <v>1.4</v>
      </c>
      <c r="D53" s="93" t="s">
        <v>79</v>
      </c>
      <c r="E53" s="116" t="s">
        <v>188</v>
      </c>
      <c r="F53" s="118" t="s">
        <v>604</v>
      </c>
      <c r="G53" s="93" t="s">
        <v>188</v>
      </c>
      <c r="H53" s="35">
        <f>HYPERLINK("https://bluetooth.atlassian.net/browse/ES-3366",3366)</f>
        <v>3366</v>
      </c>
      <c r="I53" s="93" t="s">
        <v>42</v>
      </c>
      <c r="J53" s="93" t="s">
        <v>80</v>
      </c>
    </row>
    <row r="54" spans="1:10" s="2" customFormat="1" ht="25.9" thickBot="1" x14ac:dyDescent="0.45">
      <c r="A54" s="45">
        <f>HYPERLINK("https://bluetooth.atlassian.net/browse/ES-4566",4566)</f>
        <v>4566</v>
      </c>
      <c r="B54" s="54" t="s">
        <v>603</v>
      </c>
      <c r="C54" s="92">
        <v>1.4</v>
      </c>
      <c r="D54" s="92" t="s">
        <v>81</v>
      </c>
      <c r="E54" s="117" t="s">
        <v>188</v>
      </c>
      <c r="F54" s="112" t="s">
        <v>601</v>
      </c>
      <c r="G54" s="115" t="s">
        <v>188</v>
      </c>
      <c r="H54" s="45">
        <f>HYPERLINK("https://bluetooth.atlassian.net/browse/ES-4531",4531)</f>
        <v>4531</v>
      </c>
      <c r="I54" s="119" t="s">
        <v>42</v>
      </c>
      <c r="J54" s="92" t="s">
        <v>43</v>
      </c>
    </row>
    <row r="55" spans="1:10" s="2" customFormat="1" ht="38.65" thickBot="1" x14ac:dyDescent="0.45">
      <c r="A55" s="35">
        <f>HYPERLINK("https://bluetooth.atlassian.net/browse/ES-4977",4977)</f>
        <v>4977</v>
      </c>
      <c r="B55" s="93" t="s">
        <v>603</v>
      </c>
      <c r="C55" s="93">
        <v>1.5</v>
      </c>
      <c r="D55" s="93" t="s">
        <v>84</v>
      </c>
      <c r="E55" s="116" t="s">
        <v>188</v>
      </c>
      <c r="F55" s="118" t="s">
        <v>604</v>
      </c>
      <c r="G55" s="93" t="s">
        <v>188</v>
      </c>
      <c r="H55" s="35">
        <f>HYPERLINK("https://bluetooth.atlassian.net/browse/ES-5148",5148)</f>
        <v>5148</v>
      </c>
      <c r="I55" s="93" t="s">
        <v>42</v>
      </c>
      <c r="J55" s="93" t="s">
        <v>80</v>
      </c>
    </row>
    <row r="56" spans="1:10" s="2" customFormat="1" ht="25.9" thickBot="1" x14ac:dyDescent="0.45">
      <c r="A56" s="45">
        <f>HYPERLINK("https://bluetooth.atlassian.net/browse/ES-5376",5376)</f>
        <v>5376</v>
      </c>
      <c r="B56" s="54" t="s">
        <v>603</v>
      </c>
      <c r="C56" s="92">
        <v>1.5</v>
      </c>
      <c r="D56" s="92" t="s">
        <v>85</v>
      </c>
      <c r="E56" s="117" t="s">
        <v>188</v>
      </c>
      <c r="F56" s="112" t="s">
        <v>1</v>
      </c>
      <c r="G56" s="141"/>
      <c r="H56" s="47"/>
      <c r="I56" s="119"/>
      <c r="J56" s="92"/>
    </row>
    <row r="57" spans="1:10" s="2" customFormat="1" ht="25.9" thickBot="1" x14ac:dyDescent="0.45">
      <c r="A57" s="35">
        <f>HYPERLINK("https://bluetooth.atlassian.net/browse/ES-5539",5539)</f>
        <v>5539</v>
      </c>
      <c r="B57" s="93" t="s">
        <v>603</v>
      </c>
      <c r="C57" s="93">
        <v>1.5</v>
      </c>
      <c r="D57" s="93" t="s">
        <v>86</v>
      </c>
      <c r="E57" s="116" t="s">
        <v>5</v>
      </c>
      <c r="F57" s="118" t="s">
        <v>1</v>
      </c>
      <c r="G57" s="93"/>
      <c r="H57" s="36"/>
      <c r="I57" s="93"/>
      <c r="J57" s="93"/>
    </row>
    <row r="58" spans="1:10" s="3" customFormat="1" ht="25.9" thickBot="1" x14ac:dyDescent="0.4">
      <c r="A58" s="48">
        <f>HYPERLINK("https://bluetooth.atlassian.net/browse/ES-6069",6069)</f>
        <v>6069</v>
      </c>
      <c r="B58" s="54" t="s">
        <v>603</v>
      </c>
      <c r="C58" s="54">
        <v>1.6</v>
      </c>
      <c r="D58" s="54" t="s">
        <v>27</v>
      </c>
      <c r="E58" s="115" t="s">
        <v>5</v>
      </c>
      <c r="F58" s="112" t="s">
        <v>1</v>
      </c>
      <c r="G58" s="141"/>
      <c r="H58" s="38"/>
      <c r="I58" s="119"/>
      <c r="J58" s="54" t="s">
        <v>4</v>
      </c>
    </row>
    <row r="59" spans="1:10" s="3" customFormat="1" ht="25.9" thickBot="1" x14ac:dyDescent="0.4">
      <c r="A59" s="49">
        <f>HYPERLINK("https://bluetooth.atlassian.net/browse/ES-6073",6073)</f>
        <v>6073</v>
      </c>
      <c r="B59" s="93" t="s">
        <v>603</v>
      </c>
      <c r="C59" s="93">
        <v>1.6</v>
      </c>
      <c r="D59" s="93" t="s">
        <v>29</v>
      </c>
      <c r="E59" s="116" t="s">
        <v>188</v>
      </c>
      <c r="F59" s="118" t="s">
        <v>1</v>
      </c>
      <c r="G59" s="93"/>
      <c r="H59" s="50"/>
      <c r="I59" s="93"/>
      <c r="J59" s="93" t="s">
        <v>30</v>
      </c>
    </row>
    <row r="60" spans="1:10" s="3" customFormat="1" ht="25.9" thickBot="1" x14ac:dyDescent="0.4">
      <c r="A60" s="48">
        <f>HYPERLINK("https://bluetooth.atlassian.net/browse/ES-7680",7680)</f>
        <v>7680</v>
      </c>
      <c r="B60" s="54" t="s">
        <v>603</v>
      </c>
      <c r="C60" s="54" t="s">
        <v>608</v>
      </c>
      <c r="D60" s="54" t="s">
        <v>31</v>
      </c>
      <c r="E60" s="115" t="s">
        <v>5</v>
      </c>
      <c r="F60" s="112" t="s">
        <v>1</v>
      </c>
      <c r="G60" s="141"/>
      <c r="H60" s="38"/>
      <c r="I60" s="119"/>
      <c r="J60" s="54" t="s">
        <v>645</v>
      </c>
    </row>
    <row r="61" spans="1:10" s="3" customFormat="1" ht="25.9" thickBot="1" x14ac:dyDescent="0.4">
      <c r="A61" s="51">
        <f>HYPERLINK("https://bluetooth.atlassian.net/browse/ES-10214",10214)</f>
        <v>10214</v>
      </c>
      <c r="B61" s="93" t="s">
        <v>603</v>
      </c>
      <c r="C61" s="93" t="s">
        <v>608</v>
      </c>
      <c r="D61" s="142" t="s">
        <v>25</v>
      </c>
      <c r="E61" s="93" t="s">
        <v>593</v>
      </c>
      <c r="F61" s="118" t="s">
        <v>1</v>
      </c>
      <c r="G61" s="93"/>
      <c r="H61" s="52"/>
      <c r="I61" s="93"/>
      <c r="J61" s="142" t="s">
        <v>4</v>
      </c>
    </row>
    <row r="62" spans="1:10" s="3" customFormat="1" ht="25.9" thickBot="1" x14ac:dyDescent="0.4">
      <c r="A62" s="48">
        <f>HYPERLINK("https://bluetooth.atlassian.net/browse/ES-13170",13170)</f>
        <v>13170</v>
      </c>
      <c r="B62" s="54" t="s">
        <v>603</v>
      </c>
      <c r="C62" s="54" t="s">
        <v>606</v>
      </c>
      <c r="D62" s="54" t="s">
        <v>22</v>
      </c>
      <c r="E62" s="115" t="s">
        <v>594</v>
      </c>
      <c r="F62" s="112" t="s">
        <v>1</v>
      </c>
      <c r="G62" s="141"/>
      <c r="H62" s="38"/>
      <c r="I62" s="119"/>
      <c r="J62" s="54" t="s">
        <v>644</v>
      </c>
    </row>
    <row r="63" spans="1:10" s="3" customFormat="1" ht="25.9" thickBot="1" x14ac:dyDescent="0.4">
      <c r="A63" s="49">
        <f>HYPERLINK("https://bluetooth.atlassian.net/browse/ES-13415",13415)</f>
        <v>13415</v>
      </c>
      <c r="B63" s="93" t="s">
        <v>603</v>
      </c>
      <c r="C63" s="93" t="s">
        <v>606</v>
      </c>
      <c r="D63" s="93" t="s">
        <v>24</v>
      </c>
      <c r="E63" s="116" t="s">
        <v>5</v>
      </c>
      <c r="F63" s="118" t="s">
        <v>1</v>
      </c>
      <c r="G63" s="93"/>
      <c r="H63" s="36"/>
      <c r="I63" s="93"/>
      <c r="J63" s="93" t="s">
        <v>4</v>
      </c>
    </row>
    <row r="64" spans="1:10" s="3" customFormat="1" ht="25.9" thickBot="1" x14ac:dyDescent="0.4">
      <c r="A64" s="53">
        <f>HYPERLINK("https://bluetooth.atlassian.net/browse/ES-15773",15773)</f>
        <v>15773</v>
      </c>
      <c r="B64" s="54" t="s">
        <v>603</v>
      </c>
      <c r="C64" s="54" t="s">
        <v>606</v>
      </c>
      <c r="D64" s="92" t="s">
        <v>26</v>
      </c>
      <c r="E64" s="115" t="s">
        <v>5</v>
      </c>
      <c r="F64" s="112" t="s">
        <v>1</v>
      </c>
      <c r="G64" s="141"/>
      <c r="H64" s="47"/>
      <c r="I64" s="119"/>
      <c r="J64" s="92" t="s">
        <v>4</v>
      </c>
    </row>
    <row r="65" spans="1:10" s="2" customFormat="1" ht="25.9" thickBot="1" x14ac:dyDescent="0.45">
      <c r="A65" s="35">
        <f>HYPERLINK("https://bluetooth.atlassian.net/browse/ES-15828",15828)</f>
        <v>15828</v>
      </c>
      <c r="B65" s="93" t="s">
        <v>603</v>
      </c>
      <c r="C65" s="93" t="s">
        <v>606</v>
      </c>
      <c r="D65" s="93" t="s">
        <v>595</v>
      </c>
      <c r="E65" s="93" t="s">
        <v>596</v>
      </c>
      <c r="F65" s="118" t="s">
        <v>1</v>
      </c>
      <c r="G65" s="93"/>
      <c r="H65" s="35"/>
      <c r="I65" s="93"/>
      <c r="J65" s="93"/>
    </row>
    <row r="66" spans="1:10" s="2" customFormat="1" ht="25.9" thickBot="1" x14ac:dyDescent="0.45">
      <c r="A66" s="37">
        <f>HYPERLINK("https://bluetooth.atlassian.net/browse/ES-18145",18145)</f>
        <v>18145</v>
      </c>
      <c r="B66" s="54" t="s">
        <v>603</v>
      </c>
      <c r="C66" s="54" t="s">
        <v>606</v>
      </c>
      <c r="D66" s="54" t="s">
        <v>561</v>
      </c>
      <c r="E66" s="115" t="s">
        <v>5</v>
      </c>
      <c r="F66" s="112" t="s">
        <v>1</v>
      </c>
      <c r="G66" s="141"/>
      <c r="H66" s="38"/>
      <c r="I66" s="119"/>
      <c r="J66" s="54"/>
    </row>
    <row r="67" spans="1:10" s="2" customFormat="1" ht="25.9" thickBot="1" x14ac:dyDescent="0.45">
      <c r="A67" s="35">
        <f>HYPERLINK("https://bluetooth.atlassian.net/browse/ES-18309",18309)</f>
        <v>18309</v>
      </c>
      <c r="B67" s="93" t="s">
        <v>603</v>
      </c>
      <c r="C67" s="93" t="s">
        <v>607</v>
      </c>
      <c r="D67" s="93" t="s">
        <v>597</v>
      </c>
      <c r="E67" s="116" t="s">
        <v>5</v>
      </c>
      <c r="F67" s="118" t="s">
        <v>1</v>
      </c>
      <c r="G67" s="93"/>
      <c r="H67" s="36"/>
      <c r="I67" s="93"/>
      <c r="J67" s="93"/>
    </row>
    <row r="68" spans="1:10" s="2" customFormat="1" ht="25.9" thickBot="1" x14ac:dyDescent="0.45">
      <c r="A68" s="37">
        <f>HYPERLINK("https://bluetooth.atlassian.net/browse/ES-18310",18310)</f>
        <v>18310</v>
      </c>
      <c r="B68" s="54" t="s">
        <v>603</v>
      </c>
      <c r="C68" s="54">
        <v>1.5</v>
      </c>
      <c r="D68" s="54" t="s">
        <v>597</v>
      </c>
      <c r="E68" s="115" t="s">
        <v>5</v>
      </c>
      <c r="F68" s="112" t="s">
        <v>1</v>
      </c>
      <c r="G68" s="141"/>
      <c r="H68" s="38"/>
      <c r="I68" s="119"/>
      <c r="J68" s="54"/>
    </row>
    <row r="69" spans="1:10" s="2" customFormat="1" ht="39" customHeight="1" thickBot="1" x14ac:dyDescent="0.45">
      <c r="A69" s="35">
        <f>HYPERLINK("https://bluetooth.atlassian.net/browse/ES-18396",18396)</f>
        <v>18396</v>
      </c>
      <c r="B69" s="93" t="s">
        <v>603</v>
      </c>
      <c r="C69" s="93" t="s">
        <v>606</v>
      </c>
      <c r="D69" s="93" t="s">
        <v>598</v>
      </c>
      <c r="E69" s="93" t="s">
        <v>594</v>
      </c>
      <c r="F69" s="118" t="s">
        <v>1</v>
      </c>
      <c r="G69" s="93"/>
      <c r="H69" s="36"/>
      <c r="I69" s="93"/>
      <c r="J69" s="93"/>
    </row>
    <row r="70" spans="1:10" s="2" customFormat="1" ht="27" customHeight="1" thickBot="1" x14ac:dyDescent="0.45">
      <c r="A70" s="37">
        <f>HYPERLINK("https://bluetooth.atlassian.net/browse/ES-18543",18543)</f>
        <v>18543</v>
      </c>
      <c r="B70" s="54" t="s">
        <v>603</v>
      </c>
      <c r="C70" s="54" t="s">
        <v>607</v>
      </c>
      <c r="D70" s="54" t="s">
        <v>566</v>
      </c>
      <c r="E70" s="115" t="s">
        <v>5</v>
      </c>
      <c r="F70" s="112" t="s">
        <v>1</v>
      </c>
      <c r="G70" s="141"/>
      <c r="H70" s="45"/>
      <c r="I70" s="119"/>
      <c r="J70" s="54"/>
    </row>
    <row r="71" spans="1:10" s="2" customFormat="1" ht="25.9" thickBot="1" x14ac:dyDescent="0.45">
      <c r="A71" s="35">
        <f>HYPERLINK("https://bluetooth.atlassian.net/browse/ES-18790",18790)</f>
        <v>18790</v>
      </c>
      <c r="B71" s="93" t="s">
        <v>603</v>
      </c>
      <c r="C71" s="93" t="s">
        <v>607</v>
      </c>
      <c r="D71" s="93" t="s">
        <v>599</v>
      </c>
      <c r="E71" s="116" t="s">
        <v>5</v>
      </c>
      <c r="F71" s="118" t="s">
        <v>1</v>
      </c>
      <c r="G71" s="93"/>
      <c r="H71" s="35"/>
      <c r="I71" s="93"/>
      <c r="J71" s="93"/>
    </row>
    <row r="72" spans="1:10" s="2" customFormat="1" ht="25.9" thickBot="1" x14ac:dyDescent="0.45">
      <c r="A72" s="45">
        <f>HYPERLINK("https://bluetooth.atlassian.net/browse/ES-23562",23562)</f>
        <v>23562</v>
      </c>
      <c r="B72" s="92" t="s">
        <v>603</v>
      </c>
      <c r="C72" s="92" t="s">
        <v>607</v>
      </c>
      <c r="D72" s="92" t="s">
        <v>600</v>
      </c>
      <c r="E72" s="115" t="s">
        <v>593</v>
      </c>
      <c r="F72" s="112" t="s">
        <v>601</v>
      </c>
      <c r="G72" s="141">
        <v>4</v>
      </c>
      <c r="H72" s="45">
        <f>HYPERLINK("https://bluetooth.atlassian.net/browse/ES-24771",24771)</f>
        <v>24771</v>
      </c>
      <c r="I72" s="119" t="s">
        <v>42</v>
      </c>
      <c r="J72" s="92" t="s">
        <v>643</v>
      </c>
    </row>
    <row r="73" spans="1:10" s="2" customFormat="1" ht="25.9" thickBot="1" x14ac:dyDescent="0.45">
      <c r="A73" s="35">
        <f>HYPERLINK("https://bluetooth.atlassian.net/browse/ES-23746",23746)</f>
        <v>23746</v>
      </c>
      <c r="B73" s="93" t="s">
        <v>603</v>
      </c>
      <c r="C73" s="93" t="s">
        <v>607</v>
      </c>
      <c r="D73" s="93" t="s">
        <v>602</v>
      </c>
      <c r="E73" s="116" t="s">
        <v>5</v>
      </c>
      <c r="F73" s="118" t="s">
        <v>1</v>
      </c>
      <c r="G73" s="93"/>
      <c r="H73" s="36"/>
      <c r="I73" s="93"/>
      <c r="J73" s="93"/>
    </row>
    <row r="74" spans="1:10" s="2" customFormat="1" ht="25.9" thickBot="1" x14ac:dyDescent="0.45">
      <c r="A74" s="45">
        <f>HYPERLINK("https://bluetooth.atlassian.net/browse/ES-23747",23747)</f>
        <v>23747</v>
      </c>
      <c r="B74" s="92" t="s">
        <v>603</v>
      </c>
      <c r="C74" s="92">
        <v>1.5</v>
      </c>
      <c r="D74" s="92" t="s">
        <v>602</v>
      </c>
      <c r="E74" s="115" t="s">
        <v>5</v>
      </c>
      <c r="F74" s="112" t="s">
        <v>1</v>
      </c>
      <c r="G74" s="141"/>
      <c r="H74" s="47"/>
      <c r="I74" s="119"/>
      <c r="J74" s="92"/>
    </row>
    <row r="75" spans="1:10" ht="15.75" customHeight="1" x14ac:dyDescent="0.35">
      <c r="A75" s="20"/>
      <c r="B75" s="20"/>
      <c r="C75" s="20"/>
      <c r="D75" s="21"/>
      <c r="E75" s="21"/>
      <c r="F75" s="22"/>
      <c r="G75" s="22"/>
      <c r="H75" s="22"/>
      <c r="I75" s="22"/>
      <c r="J75" s="21"/>
    </row>
    <row r="76" spans="1:10" ht="15.75" customHeight="1" x14ac:dyDescent="0.35">
      <c r="A76"/>
      <c r="B76" s="20"/>
      <c r="C76" s="20"/>
      <c r="D76" s="21"/>
      <c r="E76" s="21"/>
      <c r="F76" s="22"/>
      <c r="G76" s="22"/>
      <c r="H76" s="22"/>
      <c r="I76" s="22"/>
      <c r="J76" s="21"/>
    </row>
    <row r="77" spans="1:10" ht="15.75" customHeight="1" x14ac:dyDescent="0.35">
      <c r="A77"/>
    </row>
    <row r="78" spans="1:10" ht="15.75" customHeight="1" x14ac:dyDescent="0.35">
      <c r="A78"/>
    </row>
    <row r="79" spans="1:10" ht="15.75" customHeight="1" x14ac:dyDescent="0.35">
      <c r="A79"/>
    </row>
    <row r="80" spans="1:10" ht="15.75" customHeight="1" x14ac:dyDescent="0.35">
      <c r="A80"/>
    </row>
    <row r="81" spans="1:1" ht="15.75" customHeight="1" x14ac:dyDescent="0.35">
      <c r="A81"/>
    </row>
    <row r="82" spans="1:1" ht="15.75" customHeight="1" x14ac:dyDescent="0.35">
      <c r="A82"/>
    </row>
    <row r="83" spans="1:1" ht="15.75" customHeight="1" x14ac:dyDescent="0.35">
      <c r="A83"/>
    </row>
    <row r="84" spans="1:1" ht="15.75" customHeight="1" x14ac:dyDescent="0.35">
      <c r="A84"/>
    </row>
    <row r="85" spans="1:1" ht="15.75" customHeight="1" x14ac:dyDescent="0.35">
      <c r="A85"/>
    </row>
  </sheetData>
  <sortState xmlns:xlrd2="http://schemas.microsoft.com/office/spreadsheetml/2017/richdata2" ref="D85:D103">
    <sortCondition ref="D85:D103"/>
  </sortState>
  <mergeCells count="21">
    <mergeCell ref="D6:F6"/>
    <mergeCell ref="G6:I6"/>
    <mergeCell ref="A14:B14"/>
    <mergeCell ref="D9:F9"/>
    <mergeCell ref="G9:I9"/>
    <mergeCell ref="D8:F8"/>
    <mergeCell ref="G8:I8"/>
    <mergeCell ref="D7:F7"/>
    <mergeCell ref="G7:I7"/>
    <mergeCell ref="D12:F12"/>
    <mergeCell ref="D11:F11"/>
    <mergeCell ref="G12:I12"/>
    <mergeCell ref="G11:I11"/>
    <mergeCell ref="D10:F10"/>
    <mergeCell ref="G10:I10"/>
    <mergeCell ref="D5:F5"/>
    <mergeCell ref="G5:I5"/>
    <mergeCell ref="D4:F4"/>
    <mergeCell ref="G4:I4"/>
    <mergeCell ref="A2:I2"/>
    <mergeCell ref="A3:I3"/>
  </mergeCells>
  <conditionalFormatting sqref="F17:F74">
    <cfRule type="cellIs" dxfId="19" priority="1" operator="greaterThan">
      <formula>"Yes"</formula>
    </cfRule>
  </conditionalFormatting>
  <dataValidations count="6">
    <dataValidation type="list" allowBlank="1" sqref="H65:H74 I16 H17:H57" xr:uid="{00000000-0002-0000-0500-000000000000}">
      <formula1>#REF!</formula1>
    </dataValidation>
    <dataValidation type="list" allowBlank="1" sqref="F17:F74" xr:uid="{4F69CC6F-2545-478C-9679-F35AC0973C01}">
      <formula1>"No,Yes - doesn't need to wait for erratum,Yes - tied to spec change,Not Reviewed"</formula1>
    </dataValidation>
    <dataValidation type="list" allowBlank="1" showInputMessage="1" showErrorMessage="1" sqref="E17:E74" xr:uid="{689870EB-7A21-45FB-953A-2B4A65952997}">
      <formula1>"Editorial,1/Technical Low,2/Technical Medium,3/Technical High,4/Technical Critical,Not Categorized"</formula1>
    </dataValidation>
    <dataValidation type="list" allowBlank="1" sqref="I17:I74" xr:uid="{95911C46-9B0C-47C0-B5A1-2CD83B3AF8B2}">
      <formula1>"Open,Approved,Rejected,Released"</formula1>
    </dataValidation>
    <dataValidation type="list" allowBlank="1" sqref="F16:H16" xr:uid="{030C0FBC-8B24-45DB-B32E-0B6EFB686E19}">
      <formula1>#REF!</formula1>
    </dataValidation>
    <dataValidation type="list" allowBlank="1" showInputMessage="1" showErrorMessage="1" sqref="G17:G74" xr:uid="{61DB3715-0F49-4B30-A5EF-798169ACE74D}">
      <formula1>"1,2,3,4,Not Categorized"</formula1>
    </dataValidation>
  </dataValidations>
  <hyperlinks>
    <hyperlink ref="H17" r:id="rId1" display="https://www.bluetooth.org/tse/errata_view.cfm?errata_id=2706" xr:uid="{00000000-0004-0000-0500-000000000000}"/>
    <hyperlink ref="H45" r:id="rId2" display="https://www.bluetooth.org/tse/errata_view.cfm?errata_id=2706" xr:uid="{00000000-0004-0000-0500-000001000000}"/>
    <hyperlink ref="H47" r:id="rId3" display="https://www.bluetooth.org/tse/errata_view.cfm?errata_id=2706" xr:uid="{00000000-0004-0000-0500-000002000000}"/>
    <hyperlink ref="H53" r:id="rId4" display="https://www.bluetooth.org/tse/errata_view.cfm?errata_id=2706" xr:uid="{00000000-0004-0000-0500-000003000000}"/>
    <hyperlink ref="H51" r:id="rId5" display="https://www.bluetooth.org/tse/errata_view.cfm?errata_id=2706" xr:uid="{00000000-0004-0000-0500-000004000000}"/>
    <hyperlink ref="H52" r:id="rId6" display="https://www.bluetooth.org/tse/errata_view.cfm?errata_id=2706" xr:uid="{00000000-0004-0000-0500-000005000000}"/>
    <hyperlink ref="H55" r:id="rId7" display="https://www.bluetooth.org/tse/errata_view.cfm?errata_id=2706" xr:uid="{00000000-0004-0000-0500-000006000000}"/>
    <hyperlink ref="H54" r:id="rId8" display="https://www.bluetooth.org/tse/errata_view.cfm?errata_id=2706" xr:uid="{00000000-0004-0000-0500-000007000000}"/>
    <hyperlink ref="H72" r:id="rId9" display="https://www.bluetooth.org/tse/errata_view.cfm?errata_id=2706" xr:uid="{CE0B19B8-FEE7-4F09-AD72-D7E155BD7D36}"/>
  </hyperlinks>
  <pageMargins left="0.7" right="0.7" top="0.75" bottom="0.75" header="0.3" footer="0.3"/>
  <pageSetup paperSize="9" orientation="portrait" horizontalDpi="300" verticalDpi="300"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D85B"/>
    <outlinePr summaryBelow="0" summaryRight="0"/>
  </sheetPr>
  <dimension ref="A1:J17"/>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7.3984375" customWidth="1"/>
  </cols>
  <sheetData>
    <row r="1" spans="1:10" ht="28.5" customHeight="1" thickBot="1" x14ac:dyDescent="0.65">
      <c r="A1" s="19" t="s">
        <v>162</v>
      </c>
      <c r="B1" s="25"/>
      <c r="C1" s="25"/>
      <c r="D1" s="3"/>
      <c r="E1" s="3"/>
      <c r="F1" s="28"/>
      <c r="G1" s="28"/>
      <c r="H1" s="28"/>
      <c r="I1" s="28"/>
      <c r="J1" s="29"/>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32.450000000000003" customHeight="1" thickBot="1" x14ac:dyDescent="0.5">
      <c r="A4" s="30" t="s">
        <v>8</v>
      </c>
      <c r="B4" s="31" t="s">
        <v>6</v>
      </c>
      <c r="C4" s="30" t="s">
        <v>541</v>
      </c>
      <c r="D4" s="175" t="s">
        <v>9</v>
      </c>
      <c r="E4" s="176"/>
      <c r="F4" s="177"/>
      <c r="G4" s="175" t="s">
        <v>550</v>
      </c>
      <c r="H4" s="176"/>
      <c r="I4" s="177"/>
      <c r="J4" s="29"/>
    </row>
    <row r="5" spans="1:10" s="65" customFormat="1" ht="12.75" customHeight="1" thickBot="1" x14ac:dyDescent="0.4">
      <c r="A5" s="64" t="s">
        <v>163</v>
      </c>
      <c r="B5" s="64">
        <v>43480</v>
      </c>
      <c r="C5" s="148" t="s">
        <v>556</v>
      </c>
      <c r="D5" s="169" t="s">
        <v>167</v>
      </c>
      <c r="E5" s="170"/>
      <c r="F5" s="171"/>
      <c r="G5" s="172" t="s">
        <v>92</v>
      </c>
      <c r="H5" s="173"/>
      <c r="I5" s="174"/>
      <c r="J5" s="29"/>
    </row>
    <row r="6" spans="1:10" s="5" customFormat="1" ht="40.5" customHeight="1" thickBot="1" x14ac:dyDescent="0.5">
      <c r="A6" s="24" t="s">
        <v>164</v>
      </c>
      <c r="B6" s="24">
        <v>40416</v>
      </c>
      <c r="C6" s="94" t="s">
        <v>556</v>
      </c>
      <c r="D6" s="181" t="s">
        <v>136</v>
      </c>
      <c r="E6" s="182"/>
      <c r="F6" s="183"/>
      <c r="G6" s="181" t="s">
        <v>168</v>
      </c>
      <c r="H6" s="182"/>
      <c r="I6" s="183"/>
      <c r="J6" s="29"/>
    </row>
    <row r="7" spans="1:10" s="65" customFormat="1" ht="13.5" customHeight="1" thickBot="1" x14ac:dyDescent="0.4">
      <c r="A7" s="64" t="s">
        <v>165</v>
      </c>
      <c r="B7" s="64">
        <v>41114</v>
      </c>
      <c r="C7" s="94" t="s">
        <v>556</v>
      </c>
      <c r="D7" s="172" t="s">
        <v>172</v>
      </c>
      <c r="E7" s="173"/>
      <c r="F7" s="174"/>
      <c r="G7" s="169" t="s">
        <v>91</v>
      </c>
      <c r="H7" s="170"/>
      <c r="I7" s="171"/>
      <c r="J7" s="29"/>
    </row>
    <row r="8" spans="1:10" s="65" customFormat="1" ht="13.5" customHeight="1" thickBot="1" x14ac:dyDescent="0.4">
      <c r="A8" s="64" t="s">
        <v>166</v>
      </c>
      <c r="B8" s="66">
        <v>43480</v>
      </c>
      <c r="C8" s="67" t="s">
        <v>15</v>
      </c>
      <c r="D8" s="172" t="s">
        <v>169</v>
      </c>
      <c r="E8" s="173"/>
      <c r="F8" s="174"/>
      <c r="G8" s="169" t="s">
        <v>92</v>
      </c>
      <c r="H8" s="170"/>
      <c r="I8" s="171"/>
      <c r="J8" s="29"/>
    </row>
    <row r="9" spans="1:10" s="5" customFormat="1" ht="14.25" x14ac:dyDescent="0.45">
      <c r="A9" s="29"/>
      <c r="B9" s="29"/>
      <c r="C9" s="29"/>
      <c r="D9" s="29"/>
      <c r="E9" s="29"/>
      <c r="F9" s="29"/>
      <c r="G9" s="29"/>
      <c r="H9" s="29"/>
      <c r="I9" s="29"/>
      <c r="J9" s="29"/>
    </row>
    <row r="10" spans="1:10" ht="21" customHeight="1" x14ac:dyDescent="0.4">
      <c r="A10" s="166" t="s">
        <v>7</v>
      </c>
      <c r="B10" s="166"/>
      <c r="C10" s="27"/>
      <c r="D10" s="3"/>
      <c r="E10" s="3"/>
      <c r="F10" s="28"/>
      <c r="G10" s="28"/>
      <c r="H10" s="28"/>
      <c r="I10" s="28"/>
      <c r="J10" s="3"/>
    </row>
    <row r="11" spans="1:10" ht="21" customHeight="1" thickBot="1" x14ac:dyDescent="0.45">
      <c r="A11" s="132" t="s">
        <v>660</v>
      </c>
      <c r="B11" s="133"/>
      <c r="C11" s="134"/>
      <c r="D11" s="132"/>
      <c r="E11" s="135"/>
      <c r="F11" s="136"/>
      <c r="G11" s="136"/>
      <c r="H11" s="136"/>
      <c r="I11" s="136"/>
      <c r="J11" s="135"/>
    </row>
    <row r="12" spans="1:10" s="2" customFormat="1" ht="26.65" thickBot="1" x14ac:dyDescent="0.45">
      <c r="A12" s="32" t="s">
        <v>208</v>
      </c>
      <c r="B12" s="32" t="s">
        <v>661</v>
      </c>
      <c r="C12" s="32" t="s">
        <v>605</v>
      </c>
      <c r="D12" s="33" t="s">
        <v>263</v>
      </c>
      <c r="E12" s="33" t="s">
        <v>662</v>
      </c>
      <c r="F12" s="34" t="s">
        <v>0</v>
      </c>
      <c r="G12" s="33" t="s">
        <v>663</v>
      </c>
      <c r="H12" s="34" t="s">
        <v>664</v>
      </c>
      <c r="I12" s="34" t="s">
        <v>3</v>
      </c>
      <c r="J12" s="33" t="s">
        <v>2</v>
      </c>
    </row>
    <row r="13" spans="1:10" s="2" customFormat="1" ht="13.5" thickBot="1" x14ac:dyDescent="0.45">
      <c r="A13" s="35">
        <f>HYPERLINK("https://bluetooth.atlassian.net/browse/ES-710",710)</f>
        <v>710</v>
      </c>
      <c r="B13" s="36" t="s">
        <v>616</v>
      </c>
      <c r="C13" s="123">
        <v>1</v>
      </c>
      <c r="D13" s="36" t="s">
        <v>170</v>
      </c>
      <c r="E13" s="116" t="s">
        <v>5</v>
      </c>
      <c r="F13" s="118" t="s">
        <v>1</v>
      </c>
      <c r="G13" s="36"/>
      <c r="H13" s="35"/>
      <c r="I13" s="36"/>
      <c r="J13" s="36"/>
    </row>
    <row r="14" spans="1:10" s="2" customFormat="1" ht="25.9" thickBot="1" x14ac:dyDescent="0.45">
      <c r="A14" s="37">
        <f>HYPERLINK("https://bluetooth.atlassian.net/browse/ES-2692",2692)</f>
        <v>2692</v>
      </c>
      <c r="B14" s="38" t="s">
        <v>616</v>
      </c>
      <c r="C14" s="124">
        <v>1</v>
      </c>
      <c r="D14" s="38" t="s">
        <v>171</v>
      </c>
      <c r="E14" s="117" t="s">
        <v>188</v>
      </c>
      <c r="F14" s="112" t="s">
        <v>1</v>
      </c>
      <c r="G14" s="120"/>
      <c r="H14" s="46"/>
      <c r="I14" s="119"/>
      <c r="J14" s="38"/>
    </row>
    <row r="15" spans="1:10" s="2" customFormat="1" ht="25.9" thickBot="1" x14ac:dyDescent="0.45">
      <c r="A15" s="35">
        <f>HYPERLINK("https://bluetooth.atlassian.net/browse/ES-4291",4291)</f>
        <v>4291</v>
      </c>
      <c r="B15" s="36" t="s">
        <v>616</v>
      </c>
      <c r="C15" s="36">
        <v>1.1000000000000001</v>
      </c>
      <c r="D15" s="36" t="s">
        <v>173</v>
      </c>
      <c r="E15" s="116" t="s">
        <v>188</v>
      </c>
      <c r="F15" s="118" t="s">
        <v>1</v>
      </c>
      <c r="G15" s="36"/>
      <c r="H15" s="35"/>
      <c r="I15" s="36"/>
      <c r="J15" s="36"/>
    </row>
    <row r="16" spans="1:10" s="2" customFormat="1" ht="13.5" thickBot="1" x14ac:dyDescent="0.45">
      <c r="A16" s="37">
        <f>HYPERLINK("https://bluetooth.atlassian.net/browse/ES-5087",5087)</f>
        <v>5087</v>
      </c>
      <c r="B16" s="38" t="s">
        <v>616</v>
      </c>
      <c r="C16" s="38">
        <v>1.2</v>
      </c>
      <c r="D16" s="38" t="s">
        <v>174</v>
      </c>
      <c r="E16" s="117" t="s">
        <v>5</v>
      </c>
      <c r="F16" s="112" t="s">
        <v>1</v>
      </c>
      <c r="G16" s="120"/>
      <c r="H16" s="38"/>
      <c r="I16" s="119"/>
      <c r="J16" s="38"/>
    </row>
    <row r="17" spans="1:10" ht="25.9" thickBot="1" x14ac:dyDescent="0.4">
      <c r="A17" s="35">
        <f>HYPERLINK("https://bluetooth.atlassian.net/browse/ES-7789",7789)</f>
        <v>7789</v>
      </c>
      <c r="B17" s="36" t="s">
        <v>616</v>
      </c>
      <c r="C17" s="36">
        <v>1.2</v>
      </c>
      <c r="D17" s="36" t="s">
        <v>175</v>
      </c>
      <c r="E17" s="116" t="s">
        <v>5</v>
      </c>
      <c r="F17" s="118" t="s">
        <v>1</v>
      </c>
      <c r="G17" s="36"/>
      <c r="H17" s="35"/>
      <c r="I17" s="36"/>
      <c r="J17" s="36"/>
    </row>
  </sheetData>
  <mergeCells count="13">
    <mergeCell ref="G7:I7"/>
    <mergeCell ref="G8:I8"/>
    <mergeCell ref="A2:I2"/>
    <mergeCell ref="A3:I3"/>
    <mergeCell ref="A10:B10"/>
    <mergeCell ref="D4:F4"/>
    <mergeCell ref="D5:F5"/>
    <mergeCell ref="D6:F6"/>
    <mergeCell ref="D7:F7"/>
    <mergeCell ref="D8:F8"/>
    <mergeCell ref="G4:I4"/>
    <mergeCell ref="G5:I5"/>
    <mergeCell ref="G6:I6"/>
  </mergeCells>
  <conditionalFormatting sqref="F13:F17">
    <cfRule type="cellIs" dxfId="18" priority="1" operator="greaterThan">
      <formula>"Yes"</formula>
    </cfRule>
  </conditionalFormatting>
  <dataValidations count="7">
    <dataValidation type="list" allowBlank="1" sqref="I12" xr:uid="{00000000-0002-0000-0600-000000000000}">
      <formula1>#REF!</formula1>
    </dataValidation>
    <dataValidation type="list" allowBlank="1" sqref="F12:H12" xr:uid="{AC464268-1F61-4329-A75A-B9C08C7E8A42}">
      <formula1>#REF!</formula1>
    </dataValidation>
    <dataValidation type="list" allowBlank="1" showInputMessage="1" showErrorMessage="1" sqref="E13:E17" xr:uid="{212F216C-6120-4D1E-856F-5E2E28FD6912}">
      <formula1>"Editorial,1/Technical Low,2/Technical Medium,3/Technical High,4/Technical Critical,Not Categorized"</formula1>
    </dataValidation>
    <dataValidation type="list" allowBlank="1" sqref="F13:F17" xr:uid="{1EED39CE-13CA-4DE6-9937-B5BA3C541C2B}">
      <formula1>"No,Yes - doesn't need to wait for erratum,Yes - tied to spec change,Not Reviewed"</formula1>
    </dataValidation>
    <dataValidation allowBlank="1" sqref="H13:H17" xr:uid="{971594B9-5CFA-4CF6-87EC-CB6871E4920A}"/>
    <dataValidation type="list" allowBlank="1" showInputMessage="1" showErrorMessage="1" sqref="G13:G17" xr:uid="{B153E466-E5EB-4878-9D99-8714EA4D365D}">
      <formula1>"1,2,3,4,Not Categorized"</formula1>
    </dataValidation>
    <dataValidation type="list" allowBlank="1" sqref="I13:I17" xr:uid="{DD8936E0-A3CE-451A-8B8F-B9ADCF859C2F}">
      <formula1>"Open,Approved,Rejected,Released"</formula1>
    </dataValidation>
  </dataValidation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J9"/>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6.265625" customWidth="1"/>
  </cols>
  <sheetData>
    <row r="1" spans="1:10" ht="28.5" customHeight="1" thickBot="1" x14ac:dyDescent="0.65">
      <c r="A1" s="19" t="s">
        <v>176</v>
      </c>
      <c r="B1" s="25"/>
      <c r="C1" s="25"/>
      <c r="D1" s="3"/>
      <c r="E1" s="3"/>
      <c r="F1" s="28"/>
      <c r="G1" s="28"/>
      <c r="H1" s="28"/>
      <c r="I1" s="28"/>
      <c r="J1" s="29"/>
    </row>
    <row r="2" spans="1:10" ht="66.75" customHeight="1" thickBot="1" x14ac:dyDescent="0.4">
      <c r="A2" s="163" t="s">
        <v>539</v>
      </c>
      <c r="B2" s="164"/>
      <c r="C2" s="164"/>
      <c r="D2" s="164"/>
      <c r="E2" s="164"/>
      <c r="F2" s="164"/>
      <c r="G2" s="164"/>
      <c r="H2" s="164"/>
      <c r="I2" s="165"/>
      <c r="J2" s="29"/>
    </row>
    <row r="3" spans="1:10" ht="51.95" customHeight="1" thickBot="1" x14ac:dyDescent="0.4">
      <c r="A3" s="163" t="s">
        <v>540</v>
      </c>
      <c r="B3" s="164"/>
      <c r="C3" s="164"/>
      <c r="D3" s="164"/>
      <c r="E3" s="164"/>
      <c r="F3" s="164"/>
      <c r="G3" s="164"/>
      <c r="H3" s="164"/>
      <c r="I3" s="165"/>
      <c r="J3" s="29"/>
    </row>
    <row r="4" spans="1:10" s="5" customFormat="1" ht="29.25" customHeight="1" thickBot="1" x14ac:dyDescent="0.5">
      <c r="A4" s="30" t="s">
        <v>8</v>
      </c>
      <c r="B4" s="31" t="s">
        <v>6</v>
      </c>
      <c r="C4" s="30" t="s">
        <v>541</v>
      </c>
      <c r="D4" s="175" t="s">
        <v>9</v>
      </c>
      <c r="E4" s="176"/>
      <c r="F4" s="177"/>
      <c r="G4" s="175" t="s">
        <v>550</v>
      </c>
      <c r="H4" s="176"/>
      <c r="I4" s="177"/>
      <c r="J4" s="29"/>
    </row>
    <row r="5" spans="1:10" s="5" customFormat="1" ht="27" customHeight="1" thickBot="1" x14ac:dyDescent="0.5">
      <c r="A5" s="24" t="s">
        <v>177</v>
      </c>
      <c r="B5" s="24">
        <v>38834</v>
      </c>
      <c r="C5" s="24" t="s">
        <v>15</v>
      </c>
      <c r="D5" s="178" t="s">
        <v>136</v>
      </c>
      <c r="E5" s="179"/>
      <c r="F5" s="180"/>
      <c r="G5" s="181" t="s">
        <v>206</v>
      </c>
      <c r="H5" s="182"/>
      <c r="I5" s="183"/>
      <c r="J5" s="29"/>
    </row>
    <row r="6" spans="1:10" s="5" customFormat="1" ht="14.25" x14ac:dyDescent="0.45">
      <c r="A6" s="29"/>
      <c r="B6" s="29"/>
      <c r="C6" s="29"/>
      <c r="D6" s="29"/>
      <c r="E6" s="29"/>
      <c r="F6" s="29"/>
      <c r="G6" s="29"/>
      <c r="H6" s="29"/>
      <c r="I6" s="29"/>
      <c r="J6" s="29"/>
    </row>
    <row r="7" spans="1:10" ht="21" customHeight="1" x14ac:dyDescent="0.4">
      <c r="A7" s="166" t="s">
        <v>7</v>
      </c>
      <c r="B7" s="166"/>
      <c r="C7" s="27"/>
      <c r="D7" s="3"/>
      <c r="E7" s="3"/>
      <c r="F7" s="28"/>
      <c r="G7" s="28"/>
      <c r="H7" s="28"/>
      <c r="I7" s="28"/>
      <c r="J7" s="3"/>
    </row>
    <row r="8" spans="1:10" ht="21" customHeight="1" thickBot="1" x14ac:dyDescent="0.45">
      <c r="A8" s="132" t="s">
        <v>660</v>
      </c>
      <c r="B8" s="133"/>
      <c r="C8" s="134"/>
      <c r="D8" s="132"/>
      <c r="E8" s="135"/>
      <c r="F8" s="136"/>
      <c r="G8" s="136"/>
      <c r="H8" s="136"/>
      <c r="I8" s="136"/>
      <c r="J8" s="3"/>
    </row>
    <row r="9" spans="1:10" s="2" customFormat="1" ht="24.75" customHeight="1" thickBot="1" x14ac:dyDescent="0.45">
      <c r="A9" s="32" t="s">
        <v>208</v>
      </c>
      <c r="B9" s="32" t="s">
        <v>661</v>
      </c>
      <c r="C9" s="32" t="s">
        <v>605</v>
      </c>
      <c r="D9" s="33" t="s">
        <v>263</v>
      </c>
      <c r="E9" s="33" t="s">
        <v>662</v>
      </c>
      <c r="F9" s="34" t="s">
        <v>0</v>
      </c>
      <c r="G9" s="33" t="s">
        <v>663</v>
      </c>
      <c r="H9" s="34" t="s">
        <v>664</v>
      </c>
      <c r="I9" s="34" t="s">
        <v>3</v>
      </c>
      <c r="J9" s="33" t="s">
        <v>2</v>
      </c>
    </row>
  </sheetData>
  <mergeCells count="7">
    <mergeCell ref="A2:I2"/>
    <mergeCell ref="A3:I3"/>
    <mergeCell ref="A7:B7"/>
    <mergeCell ref="D4:F4"/>
    <mergeCell ref="D5:F5"/>
    <mergeCell ref="G4:I4"/>
    <mergeCell ref="G5:I5"/>
  </mergeCells>
  <dataValidations count="2">
    <dataValidation type="list" allowBlank="1" sqref="F9:H9" xr:uid="{9B18F2C9-F48B-47B4-B73D-8F8517243B90}">
      <formula1>#REF!</formula1>
    </dataValidation>
    <dataValidation type="list" allowBlank="1" sqref="I9" xr:uid="{17CBEB78-52A5-4D2D-89A0-8A615BD13E19}">
      <formula1>#REF!</formula1>
    </dataValidation>
  </dataValidation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J13"/>
  <sheetViews>
    <sheetView zoomScaleNormal="100" workbookViewId="0"/>
  </sheetViews>
  <sheetFormatPr defaultColWidth="14.3984375" defaultRowHeight="15.75" customHeight="1" x14ac:dyDescent="0.35"/>
  <cols>
    <col min="1" max="1" width="14.53125" style="1" customWidth="1"/>
    <col min="2" max="2" width="23.73046875" style="1" customWidth="1"/>
    <col min="3" max="3" width="20.73046875" style="1" customWidth="1"/>
    <col min="4" max="4" width="38.3984375" customWidth="1"/>
    <col min="5" max="5" width="11.86328125" bestFit="1" customWidth="1"/>
    <col min="6" max="6" width="14.3984375" style="4" customWidth="1"/>
    <col min="7" max="7" width="11.265625" style="4" customWidth="1"/>
    <col min="8" max="8" width="9.73046875" style="4" customWidth="1"/>
    <col min="9" max="9" width="14.3984375" style="4" customWidth="1"/>
    <col min="10" max="10" width="46.265625" customWidth="1"/>
  </cols>
  <sheetData>
    <row r="1" spans="1:10" ht="28.5" customHeight="1" thickBot="1" x14ac:dyDescent="0.65">
      <c r="A1" s="19" t="s">
        <v>178</v>
      </c>
      <c r="B1" s="25"/>
      <c r="C1" s="25"/>
      <c r="D1" s="3"/>
      <c r="E1" s="3"/>
      <c r="F1" s="28"/>
      <c r="G1" s="28"/>
      <c r="H1" s="28"/>
      <c r="I1" s="28"/>
      <c r="J1" s="3"/>
    </row>
    <row r="2" spans="1:10" ht="66.75" customHeight="1" thickBot="1" x14ac:dyDescent="0.4">
      <c r="A2" s="163" t="s">
        <v>539</v>
      </c>
      <c r="B2" s="164"/>
      <c r="C2" s="164"/>
      <c r="D2" s="164"/>
      <c r="E2" s="164"/>
      <c r="F2" s="164"/>
      <c r="G2" s="164"/>
      <c r="H2" s="164"/>
      <c r="I2" s="165"/>
      <c r="J2" s="3"/>
    </row>
    <row r="3" spans="1:10" ht="51.95" customHeight="1" thickBot="1" x14ac:dyDescent="0.4">
      <c r="A3" s="163" t="s">
        <v>540</v>
      </c>
      <c r="B3" s="164"/>
      <c r="C3" s="164"/>
      <c r="D3" s="164"/>
      <c r="E3" s="164"/>
      <c r="F3" s="164"/>
      <c r="G3" s="164"/>
      <c r="H3" s="164"/>
      <c r="I3" s="165"/>
      <c r="J3" s="3"/>
    </row>
    <row r="4" spans="1:10" s="5" customFormat="1" ht="34.700000000000003" customHeight="1" thickBot="1" x14ac:dyDescent="0.5">
      <c r="A4" s="30" t="s">
        <v>8</v>
      </c>
      <c r="B4" s="31" t="s">
        <v>6</v>
      </c>
      <c r="C4" s="30" t="s">
        <v>541</v>
      </c>
      <c r="D4" s="175" t="s">
        <v>9</v>
      </c>
      <c r="E4" s="176"/>
      <c r="F4" s="177"/>
      <c r="G4" s="175" t="s">
        <v>550</v>
      </c>
      <c r="H4" s="176"/>
      <c r="I4" s="177"/>
      <c r="J4" s="3"/>
    </row>
    <row r="5" spans="1:10" s="65" customFormat="1" ht="13.5" customHeight="1" thickBot="1" x14ac:dyDescent="0.4">
      <c r="A5" s="64" t="s">
        <v>179</v>
      </c>
      <c r="B5" s="64">
        <v>43480</v>
      </c>
      <c r="C5" s="64" t="s">
        <v>15</v>
      </c>
      <c r="D5" s="172" t="s">
        <v>180</v>
      </c>
      <c r="E5" s="173"/>
      <c r="F5" s="174"/>
      <c r="G5" s="172" t="s">
        <v>92</v>
      </c>
      <c r="H5" s="173"/>
      <c r="I5" s="174"/>
      <c r="J5" s="3"/>
    </row>
    <row r="6" spans="1:10" s="5" customFormat="1" ht="14.25" x14ac:dyDescent="0.45">
      <c r="A6" s="29"/>
      <c r="B6" s="29"/>
      <c r="C6" s="29"/>
      <c r="D6" s="29"/>
      <c r="E6" s="29"/>
      <c r="F6" s="29"/>
      <c r="G6" s="29"/>
      <c r="H6" s="29"/>
      <c r="I6" s="29"/>
      <c r="J6" s="3"/>
    </row>
    <row r="7" spans="1:10" ht="21" customHeight="1" x14ac:dyDescent="0.4">
      <c r="A7" s="166" t="s">
        <v>7</v>
      </c>
      <c r="B7" s="166"/>
      <c r="C7" s="27"/>
      <c r="D7" s="3"/>
      <c r="E7" s="3"/>
      <c r="F7" s="28"/>
      <c r="G7" s="28"/>
      <c r="H7" s="28"/>
      <c r="I7" s="28"/>
      <c r="J7" s="3"/>
    </row>
    <row r="8" spans="1:10" ht="21" customHeight="1" thickBot="1" x14ac:dyDescent="0.45">
      <c r="A8" s="132" t="s">
        <v>660</v>
      </c>
      <c r="B8" s="133"/>
      <c r="C8" s="134"/>
      <c r="D8" s="132"/>
      <c r="E8" s="135"/>
      <c r="F8" s="136"/>
      <c r="G8" s="136"/>
      <c r="H8" s="136"/>
      <c r="I8" s="136"/>
      <c r="J8" s="3"/>
    </row>
    <row r="9" spans="1:10" s="2" customFormat="1" ht="26.65" thickBot="1" x14ac:dyDescent="0.45">
      <c r="A9" s="32" t="s">
        <v>208</v>
      </c>
      <c r="B9" s="32" t="s">
        <v>661</v>
      </c>
      <c r="C9" s="32" t="s">
        <v>605</v>
      </c>
      <c r="D9" s="33" t="s">
        <v>263</v>
      </c>
      <c r="E9" s="33" t="s">
        <v>662</v>
      </c>
      <c r="F9" s="34" t="s">
        <v>0</v>
      </c>
      <c r="G9" s="33" t="s">
        <v>663</v>
      </c>
      <c r="H9" s="34" t="s">
        <v>664</v>
      </c>
      <c r="I9" s="34" t="s">
        <v>3</v>
      </c>
      <c r="J9" s="33" t="s">
        <v>2</v>
      </c>
    </row>
    <row r="10" spans="1:10" s="2" customFormat="1" ht="25.9" thickBot="1" x14ac:dyDescent="0.45">
      <c r="A10" s="35">
        <f>HYPERLINK("https://bluetooth.atlassian.net/browse/ES-6945",6945)</f>
        <v>6945</v>
      </c>
      <c r="B10" s="36" t="s">
        <v>617</v>
      </c>
      <c r="C10" s="123">
        <v>1</v>
      </c>
      <c r="D10" s="36" t="s">
        <v>181</v>
      </c>
      <c r="E10" s="116" t="s">
        <v>5</v>
      </c>
      <c r="F10" s="118" t="s">
        <v>1</v>
      </c>
      <c r="G10" s="36"/>
      <c r="H10" s="35"/>
      <c r="I10" s="36"/>
      <c r="J10" s="36"/>
    </row>
    <row r="11" spans="1:10" s="2" customFormat="1" ht="25.9" thickBot="1" x14ac:dyDescent="0.45">
      <c r="A11" s="37">
        <f>HYPERLINK("https://bluetooth.atlassian.net/browse/ES-6957",6957)</f>
        <v>6957</v>
      </c>
      <c r="B11" s="38" t="s">
        <v>617</v>
      </c>
      <c r="C11" s="124">
        <v>1</v>
      </c>
      <c r="D11" s="38" t="s">
        <v>182</v>
      </c>
      <c r="E11" s="117" t="s">
        <v>5</v>
      </c>
      <c r="F11" s="112" t="s">
        <v>1</v>
      </c>
      <c r="G11" s="120"/>
      <c r="H11" s="46"/>
      <c r="I11" s="119"/>
      <c r="J11" s="38"/>
    </row>
    <row r="12" spans="1:10" s="2" customFormat="1" ht="25.9" thickBot="1" x14ac:dyDescent="0.45">
      <c r="A12" s="35">
        <f>HYPERLINK("https://bluetooth.atlassian.net/browse/ES-6958",6958)</f>
        <v>6958</v>
      </c>
      <c r="B12" s="36" t="s">
        <v>617</v>
      </c>
      <c r="C12" s="123">
        <v>1</v>
      </c>
      <c r="D12" s="36" t="s">
        <v>183</v>
      </c>
      <c r="E12" s="116" t="s">
        <v>188</v>
      </c>
      <c r="F12" s="118" t="s">
        <v>1</v>
      </c>
      <c r="G12" s="36"/>
      <c r="H12" s="35"/>
      <c r="I12" s="36"/>
      <c r="J12" s="36"/>
    </row>
    <row r="13" spans="1:10" s="2" customFormat="1" ht="25.9" thickBot="1" x14ac:dyDescent="0.45">
      <c r="A13" s="37">
        <f>HYPERLINK("https://bluetooth.atlassian.net/browse/ES-7283",7283)</f>
        <v>7283</v>
      </c>
      <c r="B13" s="38" t="s">
        <v>617</v>
      </c>
      <c r="C13" s="124">
        <v>1</v>
      </c>
      <c r="D13" s="38" t="s">
        <v>184</v>
      </c>
      <c r="E13" s="117" t="s">
        <v>5</v>
      </c>
      <c r="F13" s="112" t="s">
        <v>1</v>
      </c>
      <c r="G13" s="120"/>
      <c r="H13" s="38"/>
      <c r="I13" s="119"/>
      <c r="J13" s="38"/>
    </row>
  </sheetData>
  <mergeCells count="7">
    <mergeCell ref="A7:B7"/>
    <mergeCell ref="A2:I2"/>
    <mergeCell ref="A3:I3"/>
    <mergeCell ref="D4:F4"/>
    <mergeCell ref="D5:F5"/>
    <mergeCell ref="G4:I4"/>
    <mergeCell ref="G5:I5"/>
  </mergeCells>
  <conditionalFormatting sqref="F10:F13">
    <cfRule type="cellIs" dxfId="17" priority="1" operator="greaterThan">
      <formula>"Yes"</formula>
    </cfRule>
  </conditionalFormatting>
  <dataValidations count="7">
    <dataValidation type="list" allowBlank="1" sqref="I9" xr:uid="{00000000-0002-0000-0800-000000000000}">
      <formula1>#REF!</formula1>
    </dataValidation>
    <dataValidation type="list" allowBlank="1" sqref="F9:H9" xr:uid="{99BD74BA-BB85-41AA-81EC-A77BAA5195B1}">
      <formula1>#REF!</formula1>
    </dataValidation>
    <dataValidation allowBlank="1" sqref="H10:H13" xr:uid="{E32071ED-0350-49D1-8DFE-CD771445B0AB}"/>
    <dataValidation type="list" allowBlank="1" showInputMessage="1" showErrorMessage="1" sqref="E10:E13" xr:uid="{31F62288-F83D-4958-BA64-AF75680AB385}">
      <formula1>"Editorial,1/Technical Low,2/Technical Medium,3/Technical High,4/Technical Critical,Not Categorized"</formula1>
    </dataValidation>
    <dataValidation type="list" allowBlank="1" sqref="F10:F13" xr:uid="{DBE384F4-52A0-44BB-A71B-96E620B89BD9}">
      <formula1>"No,Yes - doesn't need to wait for erratum,Yes - tied to spec change,Not Reviewed"</formula1>
    </dataValidation>
    <dataValidation type="list" allowBlank="1" showInputMessage="1" showErrorMessage="1" sqref="G10:G13" xr:uid="{EB26204B-350C-488C-B5AB-0444926351A5}">
      <formula1>"1,2,3,4,Not Categorized"</formula1>
    </dataValidation>
    <dataValidation type="list" allowBlank="1" sqref="I10:I13" xr:uid="{B55B2EA7-D0FF-4D28-9526-4DC8FF4E9D14}">
      <formula1>"Open,Approved,Rejected,Released"</formula1>
    </dataValidation>
  </dataValidation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c57150-95d3-44f5-b623-81a9dee31073" xsi:nil="true"/>
    <lcf76f155ced4ddcb4097134ff3c332f xmlns="841ce161-2f11-4fff-9b19-93e9b368de6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73C2DDB3CD31449998C8DF81E1EB713" ma:contentTypeVersion="15" ma:contentTypeDescription="Create a new document." ma:contentTypeScope="" ma:versionID="cd2d9b744c04e179f3f499213e42a264">
  <xsd:schema xmlns:xsd="http://www.w3.org/2001/XMLSchema" xmlns:xs="http://www.w3.org/2001/XMLSchema" xmlns:p="http://schemas.microsoft.com/office/2006/metadata/properties" xmlns:ns2="841ce161-2f11-4fff-9b19-93e9b368de60" xmlns:ns3="44c57150-95d3-44f5-b623-81a9dee31073" targetNamespace="http://schemas.microsoft.com/office/2006/metadata/properties" ma:root="true" ma:fieldsID="753f99d05f3f417550a1cce3d02ad244" ns2:_="" ns3:_="">
    <xsd:import namespace="841ce161-2f11-4fff-9b19-93e9b368de60"/>
    <xsd:import namespace="44c57150-95d3-44f5-b623-81a9dee3107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1ce161-2f11-4fff-9b19-93e9b368de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02237d5-7af0-4a45-8a54-8adec39992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c57150-95d3-44f5-b623-81a9dee3107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62b7f15-1d09-46b3-acdc-1bfe72f7aa22}" ma:internalName="TaxCatchAll" ma:showField="CatchAllData" ma:web="44c57150-95d3-44f5-b623-81a9dee31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1087D4-9F94-4615-8E49-C53FBFC565B5}">
  <ds:schemaRefs>
    <ds:schemaRef ds:uri="http://schemas.openxmlformats.org/package/2006/metadata/core-properties"/>
    <ds:schemaRef ds:uri="http://purl.org/dc/elements/1.1/"/>
    <ds:schemaRef ds:uri="http://schemas.microsoft.com/office/2006/documentManagement/types"/>
    <ds:schemaRef ds:uri="http://www.w3.org/XML/1998/namespace"/>
    <ds:schemaRef ds:uri="http://purl.org/dc/dcmitype/"/>
    <ds:schemaRef ds:uri="http://schemas.microsoft.com/office/infopath/2007/PartnerControls"/>
    <ds:schemaRef ds:uri="44c57150-95d3-44f5-b623-81a9dee31073"/>
    <ds:schemaRef ds:uri="841ce161-2f11-4fff-9b19-93e9b368de60"/>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14FBF3CD-B98A-4F8E-8A98-54C883B2DB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1ce161-2f11-4fff-9b19-93e9b368de60"/>
    <ds:schemaRef ds:uri="44c57150-95d3-44f5-b623-81a9dee31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11A415-2290-4C38-8257-43C4C4F7BD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Revisions</vt:lpstr>
      <vt:lpstr>3DSP Spec Errata</vt:lpstr>
      <vt:lpstr>A2DP Spec Errata</vt:lpstr>
      <vt:lpstr>AVCTP Spec Errata</vt:lpstr>
      <vt:lpstr>AVDTP Spec Errata</vt:lpstr>
      <vt:lpstr>AVRCP Spec Errata</vt:lpstr>
      <vt:lpstr>BIP Spec Errata</vt:lpstr>
      <vt:lpstr>BPP Spec Errata</vt:lpstr>
      <vt:lpstr>CTN Spec Errata</vt:lpstr>
      <vt:lpstr>DUN Spec Errata</vt:lpstr>
      <vt:lpstr>FTP Spec Errata</vt:lpstr>
      <vt:lpstr>GAVDP Spec Errata</vt:lpstr>
      <vt:lpstr>GOEP Spec Errata</vt:lpstr>
      <vt:lpstr>GPP Spec Errata</vt:lpstr>
      <vt:lpstr>HCRP Spec Errata</vt:lpstr>
      <vt:lpstr>HDP Spec Errata</vt:lpstr>
      <vt:lpstr>HFP Spec Errata</vt:lpstr>
      <vt:lpstr>HID Spec Errata</vt:lpstr>
      <vt:lpstr>HSP Spec Errata</vt:lpstr>
      <vt:lpstr>MAP Spec Errata</vt:lpstr>
      <vt:lpstr>OPP Spec Errata</vt:lpstr>
      <vt:lpstr>PBAP Spec Errata</vt:lpstr>
      <vt:lpstr>RFCOMM Spec Errata</vt:lpstr>
      <vt:lpstr>SAP Spec Errata</vt:lpstr>
      <vt:lpstr>SPP Spec Errata</vt:lpstr>
      <vt:lpstr>SYNC Spec Errata</vt:lpstr>
      <vt:lpstr>VDP Spec Errata</vt:lpstr>
    </vt:vector>
  </TitlesOfParts>
  <Company>Bluetooth SIG,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Integrated Errata - Traditional TCRL Specification Test Impact_p6</dc:title>
  <dc:creator>Bluetooth SIG, Inc.</dc:creator>
  <cp:lastModifiedBy>Stephanie Geels</cp:lastModifiedBy>
  <dcterms:created xsi:type="dcterms:W3CDTF">2019-11-25T16:19:22Z</dcterms:created>
  <dcterms:modified xsi:type="dcterms:W3CDTF">2025-02-03T22:43:14Z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0x010100173C2DDB3CD31449998C8DF81E1EB713</vt:lpwstr>
  </property>
  <property fmtid="{D5CDD505-2E9C-101B-9397-08002B2CF9AE}" pid="3" name="IsCharter">
    <vt:bool>false</vt:bool>
  </property>
  <property fmtid="{D5CDD505-2E9C-101B-9397-08002B2CF9AE}" pid="4" name="ffae6c47e63c48e7ac7ef403e3387e67">
    <vt:lpwstr/>
  </property>
  <property fmtid="{D5CDD505-2E9C-101B-9397-08002B2CF9AE}" pid="5" name="SpecificationVersion">
    <vt:lpwstr/>
  </property>
  <property fmtid="{D5CDD505-2E9C-101B-9397-08002B2CF9AE}" pid="6" name="IsTestSpecification">
    <vt:bool>false</vt:bool>
  </property>
  <property fmtid="{D5CDD505-2E9C-101B-9397-08002B2CF9AE}" pid="7" name="dce0bea3db71457195d934bb264453e3">
    <vt:lpwstr/>
  </property>
  <property fmtid="{D5CDD505-2E9C-101B-9397-08002B2CF9AE}" pid="8" name="Is Published">
    <vt:bool>false</vt:bool>
  </property>
  <property fmtid="{D5CDD505-2E9C-101B-9397-08002B2CF9AE}" pid="9" name="IsReviewedDocument">
    <vt:bool>false</vt:bool>
  </property>
  <property fmtid="{D5CDD505-2E9C-101B-9397-08002B2CF9AE}" pid="10" name="j549a530e4d34c0280002dbace63d5ef">
    <vt:lpwstr/>
  </property>
  <property fmtid="{D5CDD505-2E9C-101B-9397-08002B2CF9AE}" pid="11" name="SpecificationName">
    <vt:lpwstr/>
  </property>
  <property fmtid="{D5CDD505-2E9C-101B-9397-08002B2CF9AE}" pid="12" name="SIGGroup">
    <vt:lpwstr/>
  </property>
  <property fmtid="{D5CDD505-2E9C-101B-9397-08002B2CF9AE}" pid="13" name="_dlc_DocIdItemGuid">
    <vt:lpwstr>1dd7b24b-f8c1-444c-811c-910bfc5549d7</vt:lpwstr>
  </property>
  <property fmtid="{D5CDD505-2E9C-101B-9397-08002B2CF9AE}" pid="14" name="TaxCatchAll">
    <vt:lpwstr/>
  </property>
  <property fmtid="{D5CDD505-2E9C-101B-9397-08002B2CF9AE}" pid="15" name="MediaServiceImageTags">
    <vt:lpwstr/>
  </property>
</Properties>
</file>