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bluetoothsig.sharepoint.com/sites/SpecificationDocumentManagement/Shared Documents/Test Documents/Maintenance/2025-1/TCRL sheets/"/>
    </mc:Choice>
  </mc:AlternateContent>
  <xr:revisionPtr revIDLastSave="0" documentId="8_{172FC87C-2B47-4FAD-AEC0-7A3D4402E5B5}" xr6:coauthVersionLast="47" xr6:coauthVersionMax="47" xr10:uidLastSave="{00000000-0000-0000-0000-000000000000}"/>
  <bookViews>
    <workbookView xWindow="18150" yWindow="1350" windowWidth="35970" windowHeight="20760" xr2:uid="{00000000-000D-0000-FFFF-FFFF00000000}"/>
  </bookViews>
  <sheets>
    <sheet name="Revisions" sheetId="5" r:id="rId1"/>
    <sheet name="AICS Spec Errata" sheetId="75" r:id="rId2"/>
    <sheet name="ASCS Spec Errata" sheetId="68" r:id="rId3"/>
    <sheet name="BAP Spec Errata" sheetId="67" r:id="rId4"/>
    <sheet name="BASS Spec Errata" sheetId="76" r:id="rId5"/>
    <sheet name="CAP Spec Errata" sheetId="77" r:id="rId6"/>
    <sheet name="CSIP Spec Errata" sheetId="7" r:id="rId7"/>
    <sheet name="CSIS Spec Errata" sheetId="32" r:id="rId8"/>
    <sheet name="HAP Spec Errata" sheetId="69" r:id="rId9"/>
    <sheet name="HAS Spec Errata" sheetId="79" r:id="rId10"/>
    <sheet name="LC3 Spec Errata" sheetId="70" r:id="rId11"/>
    <sheet name="MCS Spec Errata" sheetId="71" r:id="rId12"/>
    <sheet name="PACS Spec Errata" sheetId="43" r:id="rId13"/>
    <sheet name="PBP Spec Errata" sheetId="72" r:id="rId14"/>
    <sheet name="TMAP Spec Errata" sheetId="80" r:id="rId15"/>
    <sheet name="VCS Spec Errata" sheetId="73" r:id="rId16"/>
    <sheet name="VOCS Spec Errata" sheetId="74"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80" l="1"/>
  <c r="A13" i="80"/>
  <c r="A12" i="80"/>
  <c r="A11" i="80"/>
  <c r="A10" i="80"/>
  <c r="H15" i="79"/>
  <c r="A15" i="79"/>
  <c r="A14" i="79"/>
  <c r="A13" i="79"/>
  <c r="A12" i="79"/>
  <c r="A11" i="79"/>
  <c r="A10" i="79"/>
  <c r="H11" i="77"/>
  <c r="H23" i="77"/>
  <c r="H24" i="77"/>
  <c r="H27" i="77"/>
  <c r="A27" i="77"/>
  <c r="A30" i="77"/>
  <c r="A29" i="77"/>
  <c r="A28" i="77"/>
  <c r="A26" i="77"/>
  <c r="A25" i="77"/>
  <c r="A24" i="77"/>
  <c r="A23" i="77"/>
  <c r="A22" i="77"/>
  <c r="A21" i="77"/>
  <c r="A20" i="77"/>
  <c r="A19" i="77"/>
  <c r="A18" i="77"/>
  <c r="A17" i="77"/>
  <c r="A16" i="77"/>
  <c r="A15" i="77"/>
  <c r="A14" i="77"/>
  <c r="A13" i="77"/>
  <c r="A12" i="77"/>
  <c r="A11" i="77"/>
  <c r="A10" i="77"/>
  <c r="H11" i="76"/>
  <c r="A10" i="76"/>
  <c r="A13" i="76"/>
  <c r="A12" i="76"/>
  <c r="A11" i="76"/>
  <c r="H13" i="75"/>
  <c r="H14" i="75"/>
  <c r="A13" i="75"/>
  <c r="A14" i="75"/>
  <c r="A12" i="75"/>
  <c r="A11" i="75"/>
  <c r="A10" i="75"/>
  <c r="A12" i="74"/>
  <c r="A11" i="74"/>
  <c r="A10" i="74"/>
  <c r="A12" i="73"/>
  <c r="A11" i="73"/>
  <c r="A10" i="73"/>
  <c r="A12" i="72"/>
  <c r="A11" i="72"/>
  <c r="A10" i="72"/>
  <c r="A22" i="43"/>
  <c r="A21" i="43"/>
  <c r="A20" i="43"/>
  <c r="A19" i="43"/>
  <c r="A18" i="43"/>
  <c r="A17" i="43"/>
  <c r="A16" i="43"/>
  <c r="A15" i="43"/>
  <c r="A14" i="43"/>
  <c r="A20" i="71"/>
  <c r="A19" i="71"/>
  <c r="A18" i="71"/>
  <c r="A17" i="71"/>
  <c r="A16" i="71"/>
  <c r="A15" i="71"/>
  <c r="A14" i="71"/>
  <c r="A13" i="71"/>
  <c r="A12" i="71"/>
  <c r="A11" i="71"/>
  <c r="A10" i="71"/>
  <c r="A19" i="70"/>
  <c r="A18" i="70"/>
  <c r="A17" i="70"/>
  <c r="A16" i="70"/>
  <c r="A15" i="70"/>
  <c r="A14" i="70"/>
  <c r="A13" i="70"/>
  <c r="A12" i="70"/>
  <c r="A11" i="70"/>
  <c r="A10" i="70"/>
  <c r="A12" i="69"/>
  <c r="A11" i="69"/>
  <c r="A10" i="69"/>
  <c r="A48" i="67"/>
  <c r="A47" i="67"/>
  <c r="A46" i="67"/>
  <c r="A45" i="67"/>
  <c r="A44" i="67"/>
  <c r="A43" i="67"/>
  <c r="A42" i="67"/>
  <c r="A41" i="67"/>
  <c r="A40" i="67"/>
  <c r="A39" i="67"/>
  <c r="A38" i="67"/>
  <c r="A37" i="67"/>
  <c r="A36" i="67"/>
  <c r="A35" i="67"/>
  <c r="A34" i="67"/>
  <c r="A33" i="67"/>
  <c r="A32" i="67"/>
  <c r="A31" i="67"/>
  <c r="A30" i="67"/>
  <c r="A29" i="67"/>
  <c r="A28" i="67"/>
  <c r="A27" i="67"/>
  <c r="A15" i="68"/>
  <c r="A14" i="68"/>
  <c r="A13" i="68"/>
  <c r="A12" i="68"/>
  <c r="A11" i="68"/>
  <c r="A10" i="68"/>
  <c r="H12" i="72" l="1"/>
  <c r="H11" i="71"/>
  <c r="H11" i="69"/>
  <c r="H10" i="69"/>
  <c r="A26" i="67"/>
  <c r="A25" i="67"/>
  <c r="A24" i="67"/>
  <c r="A11" i="67" l="1"/>
  <c r="H11" i="67"/>
  <c r="A12" i="67"/>
  <c r="A13" i="67"/>
  <c r="A14" i="67"/>
  <c r="A15" i="67"/>
  <c r="A16" i="67"/>
  <c r="A17" i="67"/>
  <c r="A18" i="67"/>
  <c r="A19" i="67"/>
  <c r="A20" i="67"/>
  <c r="A21" i="67"/>
  <c r="A22" i="67"/>
  <c r="H22" i="67"/>
  <c r="A23" i="67"/>
  <c r="A13" i="43" l="1"/>
  <c r="A12" i="43"/>
  <c r="A11" i="43"/>
  <c r="A10" i="32"/>
  <c r="A10" i="7"/>
  <c r="H10" i="32"/>
  <c r="H10" i="7"/>
  <c r="A13" i="32"/>
  <c r="A12" i="32"/>
  <c r="A11" i="32"/>
  <c r="A13" i="7"/>
  <c r="A12" i="7"/>
  <c r="A11" i="7"/>
</calcChain>
</file>

<file path=xl/sharedStrings.xml><?xml version="1.0" encoding="utf-8"?>
<sst xmlns="http://schemas.openxmlformats.org/spreadsheetml/2006/main" count="1034" uniqueCount="269">
  <si>
    <t>Test Impact</t>
  </si>
  <si>
    <t>No</t>
  </si>
  <si>
    <t>Comment</t>
  </si>
  <si>
    <t>TSE Status</t>
  </si>
  <si>
    <t>Editorial</t>
  </si>
  <si>
    <t xml:space="preserve">Adoption Date </t>
  </si>
  <si>
    <t>Errata Summary</t>
  </si>
  <si>
    <t>Spec Version</t>
  </si>
  <si>
    <t>Integrated Errata</t>
  </si>
  <si>
    <t>Active</t>
  </si>
  <si>
    <t xml:space="preserve">Release date: </t>
  </si>
  <si>
    <t>p0</t>
  </si>
  <si>
    <t>Revision History</t>
  </si>
  <si>
    <t>Version</t>
  </si>
  <si>
    <t>Date</t>
  </si>
  <si>
    <t>Changes</t>
  </si>
  <si>
    <t>N/A</t>
  </si>
  <si>
    <t>Feature Additions (for Major Version X.Y Releases)</t>
  </si>
  <si>
    <t>Erratum ID</t>
  </si>
  <si>
    <t>This Document is an informative supplement to the TCRL and Test Documents to help track integrated errata into specifications in maintenance and enhancements.</t>
  </si>
  <si>
    <t>Subject (From Errata System)</t>
  </si>
  <si>
    <r>
      <rPr>
        <b/>
        <sz val="10"/>
        <color rgb="FF000000"/>
        <rFont val="Arial"/>
        <family val="2"/>
      </rPr>
      <t xml:space="preserve">This sheet summarizes Specification Errata and the corresponding known Test Impact at the time. It's provided for informative purposes only. </t>
    </r>
    <r>
      <rPr>
        <sz val="10"/>
        <color rgb="FF000000"/>
        <rFont val="Arial"/>
        <family val="2"/>
      </rPr>
      <t xml:space="preserve">
TSEs that are open at this time can eventually become part of updated qualification requirements in future TCRLs or conclude as rejected TSEs. At any time in the future, additional TSEs may be necessary to further handle implications of the implemented errata. </t>
    </r>
  </si>
  <si>
    <t>In order to pick up errata in a previously qualified design, it is necessary to review and implement all applicable errata that have been released from the version qualified to. For example, if AVRCP 1.6 was qualified to and AVRCP 1.6.3 is the current active specification, you have to look at the Integrated Errata in AVRCP 1.6.1, AVRCP 1.6.2, and AVRCP 1.6.3.</t>
  </si>
  <si>
    <t>Specification Status</t>
  </si>
  <si>
    <t>Released</t>
  </si>
  <si>
    <t>Integrated Errata - External to the Core (GATTBasedAudio)</t>
  </si>
  <si>
    <t>Basic Audio Profile (BAP)</t>
  </si>
  <si>
    <t>BAP 1.0.1</t>
  </si>
  <si>
    <t>Expedited Erratum 18524: Harmonize 1 and 2 server audio configuration support from client side</t>
  </si>
  <si>
    <t>Missing "Min sink audio locations per server" value</t>
  </si>
  <si>
    <t>Explanation of special case frame length</t>
  </si>
  <si>
    <t>GAP Peripheral cannot scan for PA</t>
  </si>
  <si>
    <t>Incorrect internal reference?</t>
  </si>
  <si>
    <t>24_2_1 QoS setting incorrectly M for Server</t>
  </si>
  <si>
    <t>Text incorrectly places AdvData into the Extended Header field of Extended Advertisements</t>
  </si>
  <si>
    <t>GAP reference points to LL by mistake</t>
  </si>
  <si>
    <t>Incorrect size of Value parameter</t>
  </si>
  <si>
    <t>Typo in Figure 6.12 - Broadcast_ID in wrong packet. Also no Context Type called TV anymore</t>
  </si>
  <si>
    <t>Typo, it should be "Broadcast Assistant" instead of "Broadcast Source"</t>
  </si>
  <si>
    <t>The titles are different styles</t>
  </si>
  <si>
    <t>Incorrect figures in Table 4.1</t>
  </si>
  <si>
    <t>Aligning with the updated PCLA policy- update disclaimer</t>
  </si>
  <si>
    <t>update Contributors table to Acknowledgments</t>
  </si>
  <si>
    <t>Aligning with the updated PCLA policy- use of informative</t>
  </si>
  <si>
    <t>Removes Table in Appendix B of TS</t>
  </si>
  <si>
    <t>Added Conditonals to ICS related to AC 8i/ii and AC 11i/ii</t>
  </si>
  <si>
    <t>18254, 17650, 17667, 17674, 17696, 17821, 17835, 17836, 17837, 17949, 18156, 18205, 18619, 18768, 18771, 18777</t>
  </si>
  <si>
    <t>Coordinated Set Identification Profile  (CSIP)</t>
  </si>
  <si>
    <t>Coordinated Set Identification Service  (CSIS)</t>
  </si>
  <si>
    <t>Published Audio Capabilities Service  (PACS)</t>
  </si>
  <si>
    <t>CSIP 1.0.1</t>
  </si>
  <si>
    <t>Expedited Erratum 17455: Cross-Transport Key Derivation Updates</t>
  </si>
  <si>
    <t>Allowing Coordinated Sets of size 1, see Erratum 17007 for CSIS</t>
  </si>
  <si>
    <t>CSIS 1.0.1</t>
  </si>
  <si>
    <t>Expedited Erratum 17454: Key K Updates</t>
  </si>
  <si>
    <t>Need to allow a value of 1 for Coordinated Set Size</t>
  </si>
  <si>
    <t>Require at least one PAC record when a Sink PAC or Source PAC is supported</t>
  </si>
  <si>
    <t>Update Contributors table to Acknowledgments</t>
  </si>
  <si>
    <t>Aligning with the update</t>
  </si>
  <si>
    <t>PACS 1.0.1</t>
  </si>
  <si>
    <t>17455, 18769, 18772, 18873</t>
  </si>
  <si>
    <t>17454, 18770, 18773, 17007</t>
  </si>
  <si>
    <t>18614, 18778, 18779</t>
  </si>
  <si>
    <t>Updated as of the TCRL 2022-1 release. Prepared for TCRL 2022-1 publication.</t>
  </si>
  <si>
    <t>p1</t>
  </si>
  <si>
    <t>Updated as of the TCRL 2022-2 release. Updated errata links to JIRA links. Prepared for TCRL 2022-2 publication.</t>
  </si>
  <si>
    <t>p2</t>
  </si>
  <si>
    <t>Tab Color Legend</t>
  </si>
  <si>
    <t>Sheet updated due to newly integrated errata or a change in test impact or to the states of the associated test impact TSEs.</t>
  </si>
  <si>
    <t>No changes to this sheet compared to the previous publication.</t>
  </si>
  <si>
    <t>Updates made only to the D&amp;W states of the specifications, but there are no changes to integrated errata and test impact compared to the previous publication.</t>
  </si>
  <si>
    <t>Red text is used throughout to designate all updates made since the previous publication.</t>
  </si>
  <si>
    <t>Updated as of the TCRL 2023-1 release. Minor updates to this revisions sheet. Prepared for TCRL 2023-1 publication.</t>
  </si>
  <si>
    <t>p3</t>
  </si>
  <si>
    <t>Updated as of the TCRL 2024-1 release. Minor updates to this revisions sheet. Prepared for TCRL 2024-1 publication.</t>
  </si>
  <si>
    <t>p4</t>
  </si>
  <si>
    <t>BAP 1.0.2</t>
  </si>
  <si>
    <t>Affected Version(s) (From Errata System)</t>
  </si>
  <si>
    <t>BAP - Basic Audio Profile</t>
  </si>
  <si>
    <t>Yes - doesn't need to wait for erratum</t>
  </si>
  <si>
    <t>Not Categorized</t>
  </si>
  <si>
    <t>4/Technical Critical</t>
  </si>
  <si>
    <t>Yes - tied to spec change</t>
  </si>
  <si>
    <t>1/Technical Low</t>
  </si>
  <si>
    <t>18849, 18876, 18877, 19050, 19105, 19111, 19289, 19296, 20442, 20483, 20597, 22215, 22230, 22266, 22754, 22890, 23025, 23760, 24038, 24182, 24567, 24730</t>
  </si>
  <si>
    <t>2/Technical Medium</t>
  </si>
  <si>
    <t>3/Technical High</t>
  </si>
  <si>
    <t>CSIP - Coordinated Set Identification Profile</t>
  </si>
  <si>
    <t>CSIS - Coordinated Set Identification Service</t>
  </si>
  <si>
    <t>PACS - Published Audio Capabilities Service</t>
  </si>
  <si>
    <t>definition needed for "reliability"</t>
  </si>
  <si>
    <t>Conflict of mandatory and optional wording</t>
  </si>
  <si>
    <t>Table 6.3 has configuration when it should be configuration</t>
  </si>
  <si>
    <t>Incorrect table row repeats across page break</t>
  </si>
  <si>
    <t>Clarify where to find the LC3 Coding Format</t>
  </si>
  <si>
    <t>Allow for support of Security Mode 1 Level 4</t>
  </si>
  <si>
    <t>table caption appears to refer to incorrect server</t>
  </si>
  <si>
    <t>Add "or later" to specifications in References section</t>
  </si>
  <si>
    <t>Unnecessary requirement on Unicast Client Audio Sinks to support 24kHz (24_2)</t>
  </si>
  <si>
    <t>Updating Broadcast Source metadata for subgroup or stream?</t>
  </si>
  <si>
    <t>Unnecessary restriction on combination of BIS_Sync and PA_Sync parameters in Add Source operation</t>
  </si>
  <si>
    <t>Inconsistent parameter meanings across LE Audio</t>
  </si>
  <si>
    <t>QoS settings scaling ambiguity</t>
  </si>
  <si>
    <t>Clarify the use of Mono Audio in BAP and PACS</t>
  </si>
  <si>
    <t>Central to distribute IA and IRK</t>
  </si>
  <si>
    <t>Fix Supported_Audio_Channel_Counts value for Audio Configuration 13</t>
  </si>
  <si>
    <t>Need to clarify Sink/Source audio capability support requirements for Unicast Client</t>
  </si>
  <si>
    <t xml:space="preserve">Conformance Section Errata </t>
  </si>
  <si>
    <t>CLONE - Ambiguous requirements for data path configuration and ASE states for bidirectional CISs</t>
  </si>
  <si>
    <t>BAP does not describe purpose or use of BASE Subgroups</t>
  </si>
  <si>
    <t>Wrong cross reference to PACS Section 2.1.1</t>
  </si>
  <si>
    <t>Clarify the lifetime of the Broadcast_ID value</t>
  </si>
  <si>
    <t>1.0.1</t>
  </si>
  <si>
    <t>1.0 and above</t>
  </si>
  <si>
    <t>BAP 1.0, BAP 1.0.1</t>
  </si>
  <si>
    <t>1.0, 1.0.1</t>
  </si>
  <si>
    <t>1.0.2</t>
  </si>
  <si>
    <t>BAP 1.0; BAP 1.0.1</t>
  </si>
  <si>
    <t>All</t>
  </si>
  <si>
    <t>PACS 1.0.2</t>
  </si>
  <si>
    <t>18854, 19094, 19104, 19232, 19309, 22298, 22299, 22952, 23862</t>
  </si>
  <si>
    <t>1. 0, 1.0.1</t>
  </si>
  <si>
    <t>1.0,  1.0.1</t>
  </si>
  <si>
    <t>definition needed for "unreliable"</t>
  </si>
  <si>
    <t>Provide better examples of PACS requirement on combining multiple possible parameter values in PAC records.</t>
  </si>
  <si>
    <t>Fix typos in Coding Format in PACS</t>
  </si>
  <si>
    <t>There's no clear definition for the value of the supported context type if a device doesn't contain with audio sink or audio source endpoint.</t>
  </si>
  <si>
    <t>Add "or later" to BAP specification in References section</t>
  </si>
  <si>
    <t>Include broadcast in PACS description of Audio COntexts characteristics</t>
  </si>
  <si>
    <t>Missing definition of COdec_Specific_Capabilities in PACS</t>
  </si>
  <si>
    <t>Mono audio (ES-22266 updates) for PACS</t>
  </si>
  <si>
    <t>Audio Stream Control Service  (ASCS)</t>
  </si>
  <si>
    <t>* TSE severity categorization began with TCRL 2015-1 around February 2015. Prior to that date, TSEs external to the Core will not have a severity.</t>
  </si>
  <si>
    <t>Affected Document (From Errata System)</t>
  </si>
  <si>
    <t>Errata Severity</t>
  </si>
  <si>
    <t>TSE Severity*</t>
  </si>
  <si>
    <t>TSE ID (s)</t>
  </si>
  <si>
    <t>ASCS 1.0.1</t>
  </si>
  <si>
    <t>18689, 18874, 22139, 22265, 22461, 23755</t>
  </si>
  <si>
    <t>ASCS - Audio Stream Control Service</t>
  </si>
  <si>
    <t>Add reliability to Terminology table</t>
  </si>
  <si>
    <t>Max_Transport_Latency isn't really a preference</t>
  </si>
  <si>
    <t>Make Receiver Start Ready more explicit in Table 3.2</t>
  </si>
  <si>
    <t>Add guidance and a Don't Care option for preferred RTN in ASCS</t>
  </si>
  <si>
    <t>Clarify ASE State Machine transition for CIS link loss</t>
  </si>
  <si>
    <t>Hearing Access Profile  (HAP)</t>
  </si>
  <si>
    <t>HAP 1.0.1</t>
  </si>
  <si>
    <t>19220, 23132, 23815</t>
  </si>
  <si>
    <t>HAP - Hearing Access Profile</t>
  </si>
  <si>
    <t>BAP Broadcast Sink role requirement</t>
  </si>
  <si>
    <t>Remove the set member size of 0x02 from HAP section 3.6</t>
  </si>
  <si>
    <t>Low Complexity Communication Codec  (LC3)</t>
  </si>
  <si>
    <t>LC3 1.0.1</t>
  </si>
  <si>
    <t>15623 , 15933, 15957, 16047, 16056, 17227, 18892, 24819, 23727, 23833</t>
  </si>
  <si>
    <t xml:space="preserve"> LC3 - Low Complexity Communication Codec</t>
  </si>
  <si>
    <t>Editorial issues found during BoD prep</t>
  </si>
  <si>
    <t>Remove underlined text</t>
  </si>
  <si>
    <t>Fix multiple incorrect cross references</t>
  </si>
  <si>
    <t>Inconsistent statement about the LTPF transition length</t>
  </si>
  <si>
    <t>Change data type of nf_seed</t>
  </si>
  <si>
    <t>Update reference to LC3 executables</t>
  </si>
  <si>
    <t>Aligning with the updated PCLA policy</t>
  </si>
  <si>
    <t>Errata Correction 16703: Add Zero-Initialization of Byte Buffer</t>
  </si>
  <si>
    <t>unclear transition handling duration</t>
  </si>
  <si>
    <t>Media Control Service  (MCS)</t>
  </si>
  <si>
    <t>MCS 1.0.1</t>
  </si>
  <si>
    <t>MCS - Media Control Service</t>
  </si>
  <si>
    <t>16716, 18693, 18852, 18999, 19000, 19003, 19004, 19071, 19306, 22507, 23835</t>
  </si>
  <si>
    <t>how to understand the audio stream associated with media player</t>
  </si>
  <si>
    <t>Content Control ID value shall not change</t>
  </si>
  <si>
    <t>Typo about ", Track Segments Object ID," and ", Group Object ID,"</t>
  </si>
  <si>
    <t>Section Reference about Section 4.3 is incorrect</t>
  </si>
  <si>
    <t>What is the purpose of "...... it is left up to the implementation whether to: ......" ?</t>
  </si>
  <si>
    <t>Should "n-1 times" be replaced by "|n|-1 times"?</t>
  </si>
  <si>
    <t>Typo about "Search Results Object characteristic"</t>
  </si>
  <si>
    <t>Typo about "Media Player State characteristic"</t>
  </si>
  <si>
    <t>23389, 23860, 24733</t>
  </si>
  <si>
    <t>PBP 1.0.1</t>
  </si>
  <si>
    <t>Public Broadcast Profile  (PBP)</t>
  </si>
  <si>
    <t>PBP - Public Broadcast Profile</t>
  </si>
  <si>
    <t>Update the Broadcast receive state characteristic to reflect additional information introduced in PBP</t>
  </si>
  <si>
    <t>Align PBP with other LE Audio application level profiles and the profile template</t>
  </si>
  <si>
    <t>Volume Control Service  (VCS)</t>
  </si>
  <si>
    <t>VCS 1.0.1</t>
  </si>
  <si>
    <t>19313, 23881, 24664</t>
  </si>
  <si>
    <t>VCS - Volume Control Service</t>
  </si>
  <si>
    <t>Add "or later" to specifications in References section and add version numbers</t>
  </si>
  <si>
    <t>Correct Mute opcode in Table 3.10</t>
  </si>
  <si>
    <t>Volume Offset Control Service  (VOCS)</t>
  </si>
  <si>
    <t>VOCS 1.0.1</t>
  </si>
  <si>
    <t>16653, 19314, 23882</t>
  </si>
  <si>
    <t>VOCS - Volume Offset Control Service</t>
  </si>
  <si>
    <t>VOCS does not define the format (=size) of the audio location characteristic</t>
  </si>
  <si>
    <t>Add "or later" to Core specification in References section</t>
  </si>
  <si>
    <t>Updated as of the TCRL 2024-2-addition release. Includes errata for ASCS 1.0.1, BAP 1.0.2, HAP 1.0.1, LC3 1.0.1, MCS 1.0.1, PACS 1.0.2, PBP 1.0.1, VCS 1.0.1, and VOCS 1.0.1. Updated headings for Jira field names and values throughout. Prepared for TCRL 2024-2-addition publication.</t>
  </si>
  <si>
    <t>Editorial reference update. Released with TCRL 2024-2-addition.</t>
  </si>
  <si>
    <t>New tests added GMCS/SR/SP/BV-03-C, MCS/SR/SP/BV-03-C. Released with TCRL 2022-2.</t>
  </si>
  <si>
    <t>Adds additional test steps to PACS/SR/VAL/BV-01-C. Released with TCRL 2024-2-addition.</t>
  </si>
  <si>
    <t>Modifies PACS/SR/SPE/BI-01-C, PACS/SR/SPE/BI-02-C. Released with TCRL 2024-2-addition.</t>
  </si>
  <si>
    <t>Changes to the ICS. Released with TCRL 2024-2-addition.</t>
  </si>
  <si>
    <t>Test case removed.</t>
  </si>
  <si>
    <t>Added one test case and specified transport to use for two others. Released with TCRL 2021-1.</t>
  </si>
  <si>
    <t>Added three test cases and specified transport to use for several others. Released with TCRL 2021-1.</t>
  </si>
  <si>
    <t>Updates to the ICS. Released with TCRL 2024-2-addition.</t>
  </si>
  <si>
    <t>Adds new test cases BAP/UCL/STR/BV-535-C – -542-C, BAP/UCL/STR/BV-552-C – -567-C. Released with TCRL 2024-2-addition.</t>
  </si>
  <si>
    <t>Adds a new test case BAP/BSRC/SCC/BV-38-C. Released with TCRL 2024-2-addition.</t>
  </si>
  <si>
    <t>p5</t>
  </si>
  <si>
    <r>
      <rPr>
        <b/>
        <sz val="10"/>
        <rFont val="Arial"/>
        <family val="2"/>
      </rPr>
      <t xml:space="preserve">This sheet summarizes Specification Errata and the corresponding known Test Impact at the time. It's provided for informative purposes only. </t>
    </r>
    <r>
      <rPr>
        <sz val="10"/>
        <rFont val="Arial"/>
        <family val="2"/>
      </rPr>
      <t xml:space="preserve">
TSEs that are open at this time can eventually become part of updated qualification requirements in future TCRLs or conclude as rejected TSEs. At any time in the future, additional TSEs may be necessary to further handle implications of the implemented errata. </t>
    </r>
  </si>
  <si>
    <t>Audio Input Control Service  (AICS)</t>
  </si>
  <si>
    <t>AICS 1.0.1</t>
  </si>
  <si>
    <t>16466, 19294, 23754, 26031, 26032</t>
  </si>
  <si>
    <t>AICS - Audio Input Control Service</t>
  </si>
  <si>
    <t>Need to add optional and conditional support for gain modes</t>
  </si>
  <si>
    <t>wrong opcode listed for Set Automatic Gain Mode Opcode</t>
  </si>
  <si>
    <t>add "or later" to Core 5.2 entry in References</t>
  </si>
  <si>
    <t xml:space="preserve">AICS Mute function needs to have disable Mute as optional </t>
  </si>
  <si>
    <t>Released in TCRL 2025-1. Adds ICS, modifies AICS/SR/SGGIT/CP/BI-04-C, adds AICS/SR/SGGIT/CP/BI-05-C, and updates TCMT.</t>
  </si>
  <si>
    <t>Released in TCRL 2025-1. Adds ICS and changed the TCMT entry for AICS/SR/SGGIT/CP/BI-03-C.</t>
  </si>
  <si>
    <t>Broadcast Audio Scan Service  (BASS)</t>
  </si>
  <si>
    <t>BASS 1.0.1</t>
  </si>
  <si>
    <t>19297, 22576, 23773, 26529</t>
  </si>
  <si>
    <t>BASS - Broadcast Audio Scan Service</t>
  </si>
  <si>
    <t>BASS unknown encryption state</t>
  </si>
  <si>
    <t>Port EC ES23366 changes into BASS - hardcode incorrect BroadcastID</t>
  </si>
  <si>
    <t>Released in TCRL 2025-1. Updated the pass verdict to check the BIG_Encryption value for BASS/SR/CP/BV-07-C – BV-13-C and BV-15-C.</t>
  </si>
  <si>
    <t>18858, 18922, 18934, 18935, 18936, 18937, 19214, 19271, 19298, 23221, 23780, 23964, 24511, 24712, 24713, 24906, 25020, 25591, 26530, 26552, 26553</t>
  </si>
  <si>
    <t>CAP 1.0.1</t>
  </si>
  <si>
    <t>Common Audio Profile  (CAP)</t>
  </si>
  <si>
    <t>CAP - Common Audio Profile</t>
  </si>
  <si>
    <t>Referenced section link seems incorrect</t>
  </si>
  <si>
    <t>Distribute Broadcast_Code procedure used by Initiators in Section 7.3.1.1 is inconsistent with Section 5 and Section 7.3.1.12</t>
  </si>
  <si>
    <t>(CoD) Major Service Class bit 14 to 0b?</t>
  </si>
  <si>
    <t>Typo about Connect1 in Table 8.4</t>
  </si>
  <si>
    <t>"bonded devices" or "non-bonded devices" in paragraph is inconsistent with Title</t>
  </si>
  <si>
    <t>"Central ...... CCP Call Control Client role, or MCP Media Control Client role" is incorrect?</t>
  </si>
  <si>
    <t>Ad-hoc sets for Capture and Rendering Control procedures</t>
  </si>
  <si>
    <t>missing space</t>
  </si>
  <si>
    <t>Can we have recommendations on exposing multiple batteries (server side) and suggested values to use, and for clients to actually display them?</t>
  </si>
  <si>
    <t>Provide a more comprehensive description of Initiator, Acceptor and Commander roles</t>
  </si>
  <si>
    <t>Change Microphone Gain Setting should be optional for the Acceptor</t>
  </si>
  <si>
    <t>Clarify the use of Targeted and General Announcement</t>
  </si>
  <si>
    <t>Support of the connected and unconnected model in LE Audio</t>
  </si>
  <si>
    <t xml:space="preserve">Fix typo in reference to Set Gain Setting sub-procedure </t>
  </si>
  <si>
    <t>CAP lacks information on how Commanders should react if a request to synchronise fails on one of more members of a coordinated set.</t>
  </si>
  <si>
    <t>Need to clarify the use of advertisements during pairing.</t>
  </si>
  <si>
    <t>Advertisement Set is not a defined term</t>
  </si>
  <si>
    <t>Duplicate of ES-18665 - Compatible Core Specification</t>
  </si>
  <si>
    <t>Duplicate of ES-18898 - CTKD requirements are ambiguously formulated and, depending on interpretation, overly restrictive</t>
  </si>
  <si>
    <t>Released in TCRL 2025-1.  Updated the test procedure and expected outcome for CAP/CL/ADV/BV-01-C and -02-C.</t>
  </si>
  <si>
    <t>Released in TCRL 2025-1.  Added new test case CAP/CL/ADV/BV-04-C</t>
  </si>
  <si>
    <t>Released in TCRL 2025-1. Updated the Pass verdict for CAP/ACC/ADV/BV-01-C and added new test case CAP/ACC/ADV/BV-02-C</t>
  </si>
  <si>
    <t xml:space="preserve">Released in TCRL 2025-1.  Removed ICS Item 9 from Table 20. </t>
  </si>
  <si>
    <t>19133, 19203, 19303, 20422, 23816, 25541</t>
  </si>
  <si>
    <t>HAS 1.0.1</t>
  </si>
  <si>
    <t>Hearing Access Service  (HAS)</t>
  </si>
  <si>
    <t>HAS - Hearing Access Service</t>
  </si>
  <si>
    <t>The Set Active Preset does not require Hearing Aid Preset Control Point CCCD enabled.</t>
  </si>
  <si>
    <t>Confirm or clarify definition of "reliable" and add to Terminology table</t>
  </si>
  <si>
    <t>Read Presets Request operation Opcode incorrect</t>
  </si>
  <si>
    <t>Section 3.2.2 is confusing since it refers to an Invalid Op code but then references the codes in table 2.1</t>
  </si>
  <si>
    <t>Telephony and Media Audio Profile  (TMAP)</t>
  </si>
  <si>
    <t>TMAP 1.0.1</t>
  </si>
  <si>
    <t>TMAP - Telephony and Media Audio Profile</t>
  </si>
  <si>
    <t>19311, 23873, 25919, 25928</t>
  </si>
  <si>
    <t>Add ASCS Target_Latency recommendations to TMAP</t>
  </si>
  <si>
    <t>Elevate context type requirements in TMAP</t>
  </si>
  <si>
    <t xml:space="preserve">Released in TCRL 2025-1.  Added a “Context type” test cases section containing TMAP/BMR/CTXT/BV-01-C, TMAP/BMS/CTXT/BV-01-C, TMAP/CT/CTXT/BV-01-C and -02-C, and TMAP/UMR/CTXT/BV-01-C. Added ICS to support the “Conversational” and “Media” context types. </t>
  </si>
  <si>
    <t>Updated as of the TCRL 2025-1 release. Includes errata for AICS 1.0.1, BASS 1.0.1, CAP 1.0.1, HAS 1.0.1, and TMAP 1.0.1. Prepared for TCRL 2025-1 publication.</t>
  </si>
  <si>
    <t>Released in TCRL 2025-1. Updated error code for HAS/SR/SPE/BI-03-C.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</si>
</sst>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mmm\-yyyy"/>
    <numFmt numFmtId="165" formatCode="dd\-mmm\-yyyy"/>
    <numFmt numFmtId="166" formatCode="yyyy\-mm\-dd;@"/>
    <numFmt numFmtId="167" formatCode="0.0"/>
  </numFmts>
  <fonts count="24">
    <font>
      <sz val="10"/>
      <color rgb="FF000000"/>
      <name val="Arial"/>
    </font>
    <font>
      <sz val="11"/>
      <color theme="1"/>
      <name val="Calibri"/>
      <family val="2"/>
      <scheme val="minor"/>
    </font>
    <font>
      <sz val="10"/>
      <name val="Arial"/>
      <family val="2"/>
    </font>
    <font>
      <sz val="10"/>
      <color rgb="FF000000"/>
      <name val="Arial"/>
      <family val="2"/>
    </font>
    <font>
      <b/>
      <sz val="10"/>
      <color rgb="FF000000"/>
      <name val="Arial"/>
      <family val="2"/>
    </font>
    <font>
      <b/>
      <sz val="10"/>
      <name val="Arial"/>
      <family val="2"/>
    </font>
    <font>
      <u/>
      <sz val="10"/>
      <color theme="10"/>
      <name val="Arial"/>
      <family val="2"/>
    </font>
    <font>
      <sz val="10"/>
      <color theme="1"/>
      <name val="Arial"/>
      <family val="2"/>
    </font>
    <font>
      <u/>
      <sz val="11"/>
      <color theme="10"/>
      <name val="Calibri"/>
      <family val="2"/>
      <scheme val="minor"/>
    </font>
    <font>
      <b/>
      <sz val="18"/>
      <color theme="1"/>
      <name val="Arial"/>
      <family val="2"/>
    </font>
    <font>
      <b/>
      <sz val="14"/>
      <color theme="1"/>
      <name val="Arial"/>
      <family val="2"/>
    </font>
    <font>
      <sz val="14"/>
      <color theme="1"/>
      <name val="Arial"/>
      <family val="2"/>
    </font>
    <font>
      <b/>
      <sz val="10"/>
      <color theme="1"/>
      <name val="Arial"/>
      <family val="2"/>
    </font>
    <font>
      <b/>
      <sz val="16"/>
      <color rgb="FF000000"/>
      <name val="Arial"/>
      <family val="2"/>
    </font>
    <font>
      <sz val="11"/>
      <color theme="1"/>
      <name val="Arial"/>
      <family val="2"/>
    </font>
    <font>
      <sz val="10"/>
      <color rgb="FFFF0000"/>
      <name val="Arial"/>
      <family val="2"/>
    </font>
    <font>
      <sz val="10"/>
      <color rgb="FF172B4D"/>
      <name val="Helvetica Neue"/>
      <family val="2"/>
    </font>
    <font>
      <b/>
      <sz val="10"/>
      <color rgb="FF172B4D"/>
      <name val="Helvetica Neue"/>
      <family val="2"/>
    </font>
    <font>
      <b/>
      <sz val="12"/>
      <color rgb="FFFF0000"/>
      <name val="Arial"/>
      <family val="2"/>
    </font>
    <font>
      <sz val="10"/>
      <color indexed="8"/>
      <name val="Arial"/>
      <family val="2"/>
    </font>
    <font>
      <b/>
      <sz val="16"/>
      <color rgb="FFFF0000"/>
      <name val="Arial"/>
      <family val="2"/>
    </font>
    <font>
      <b/>
      <sz val="16"/>
      <name val="Arial"/>
      <family val="2"/>
    </font>
    <font>
      <sz val="11"/>
      <name val="Arial"/>
      <family val="2"/>
    </font>
    <font>
      <u/>
      <sz val="10"/>
      <name val="Arial"/>
      <family val="2"/>
    </font>
  </fonts>
  <fills count="14">
    <fill>
      <patternFill patternType="none"/>
    </fill>
    <fill>
      <patternFill patternType="gray125"/>
    </fill>
    <fill>
      <patternFill patternType="solid">
        <fgColor indexed="9"/>
        <bgColor indexed="24"/>
      </patternFill>
    </fill>
    <fill>
      <patternFill patternType="solid">
        <fgColor indexed="22"/>
        <bgColor indexed="24"/>
      </patternFill>
    </fill>
    <fill>
      <patternFill patternType="solid">
        <fgColor theme="0"/>
        <bgColor indexed="64"/>
      </patternFill>
    </fill>
    <fill>
      <patternFill patternType="solid">
        <fgColor indexed="22"/>
        <bgColor indexed="31"/>
      </patternFill>
    </fill>
    <fill>
      <patternFill patternType="solid">
        <fgColor rgb="FFC0C0C0"/>
        <bgColor indexed="24"/>
      </patternFill>
    </fill>
    <fill>
      <patternFill patternType="solid">
        <fgColor rgb="FFC0C0C0"/>
        <bgColor indexed="64"/>
      </patternFill>
    </fill>
    <fill>
      <patternFill patternType="solid">
        <fgColor rgb="FFC0C0C0"/>
        <bgColor rgb="FF9999FF"/>
      </patternFill>
    </fill>
    <fill>
      <patternFill patternType="solid">
        <fgColor theme="0" tint="-0.14999847407452621"/>
        <bgColor indexed="64"/>
      </patternFill>
    </fill>
    <fill>
      <patternFill patternType="solid">
        <fgColor rgb="FFB1A0C7"/>
        <bgColor indexed="64"/>
      </patternFill>
    </fill>
    <fill>
      <patternFill patternType="solid">
        <fgColor rgb="FFFFD85B"/>
        <bgColor indexed="64"/>
      </patternFill>
    </fill>
    <fill>
      <patternFill patternType="solid">
        <fgColor theme="0" tint="-0.249977111117893"/>
        <bgColor indexed="64"/>
      </patternFill>
    </fill>
    <fill>
      <patternFill patternType="solid">
        <fgColor theme="0" tint="-0.249977111117893"/>
        <bgColor indexed="2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6" fillId="0" borderId="0" applyNumberFormat="0" applyFill="0" applyBorder="0" applyAlignment="0" applyProtection="0"/>
    <xf numFmtId="0" fontId="1" fillId="0" borderId="0"/>
    <xf numFmtId="0" fontId="8" fillId="0" borderId="0" applyNumberFormat="0" applyFill="0" applyBorder="0" applyAlignment="0" applyProtection="0"/>
    <xf numFmtId="0" fontId="2" fillId="0" borderId="0"/>
  </cellStyleXfs>
  <cellXfs count="221">
    <xf numFmtId="0" fontId="0" fillId="0" borderId="0" xfId="0"/>
    <xf numFmtId="0" fontId="0" fillId="0" borderId="0" xfId="0" applyAlignment="1">
      <alignment horizontal="left"/>
    </xf>
    <xf numFmtId="0" fontId="5" fillId="0" borderId="0" xfId="0" applyFont="1" applyAlignment="1">
      <alignment horizontal="center"/>
    </xf>
    <xf numFmtId="0" fontId="0" fillId="0" borderId="0" xfId="0" applyAlignment="1">
      <alignment horizontal="center"/>
    </xf>
    <xf numFmtId="0" fontId="1" fillId="0" borderId="0" xfId="2"/>
    <xf numFmtId="0" fontId="9" fillId="0" borderId="0" xfId="4" applyFont="1"/>
    <xf numFmtId="0" fontId="7" fillId="0" borderId="0" xfId="4" applyFont="1"/>
    <xf numFmtId="0" fontId="10" fillId="0" borderId="0" xfId="4" applyFont="1"/>
    <xf numFmtId="0" fontId="11" fillId="0" borderId="0" xfId="4" applyFont="1"/>
    <xf numFmtId="0" fontId="12" fillId="0" borderId="0" xfId="4" applyFont="1"/>
    <xf numFmtId="49" fontId="10" fillId="0" borderId="0" xfId="0" applyNumberFormat="1" applyFont="1" applyAlignment="1">
      <alignment horizontal="left" vertical="top"/>
    </xf>
    <xf numFmtId="166" fontId="7" fillId="0" borderId="0" xfId="0" applyNumberFormat="1" applyFont="1" applyAlignment="1">
      <alignment vertical="top"/>
    </xf>
    <xf numFmtId="0" fontId="7" fillId="0" borderId="0" xfId="0" applyFont="1" applyAlignment="1">
      <alignment horizontal="left" vertical="top" wrapText="1"/>
    </xf>
    <xf numFmtId="0" fontId="7" fillId="0" borderId="0" xfId="0" applyFont="1" applyAlignment="1">
      <alignment vertical="top"/>
    </xf>
    <xf numFmtId="0" fontId="7" fillId="0" borderId="0" xfId="0" applyFont="1"/>
    <xf numFmtId="166" fontId="7" fillId="0" borderId="0" xfId="0" applyNumberFormat="1" applyFont="1"/>
    <xf numFmtId="0" fontId="7" fillId="0" borderId="0" xfId="0" applyFont="1" applyAlignment="1">
      <alignment wrapText="1"/>
    </xf>
    <xf numFmtId="49" fontId="12" fillId="5" borderId="7" xfId="0" applyNumberFormat="1" applyFont="1" applyFill="1" applyBorder="1" applyAlignment="1">
      <alignment horizontal="left" vertical="top"/>
    </xf>
    <xf numFmtId="166" fontId="12" fillId="5" borderId="8" xfId="0" applyNumberFormat="1" applyFont="1" applyFill="1" applyBorder="1" applyAlignment="1">
      <alignment horizontal="left" vertical="top"/>
    </xf>
    <xf numFmtId="0" fontId="13" fillId="0" borderId="0" xfId="0" applyFont="1" applyAlignment="1">
      <alignment horizontal="left"/>
    </xf>
    <xf numFmtId="0" fontId="4" fillId="0" borderId="4" xfId="0" applyFont="1" applyBorder="1" applyAlignment="1">
      <alignment horizontal="left" wrapText="1"/>
    </xf>
    <xf numFmtId="0" fontId="3" fillId="0" borderId="0" xfId="0" applyFont="1" applyAlignment="1">
      <alignment horizontal="left"/>
    </xf>
    <xf numFmtId="0" fontId="5" fillId="3" borderId="6" xfId="0" applyFont="1" applyFill="1" applyBorder="1" applyAlignment="1">
      <alignment horizontal="left" vertical="center" wrapText="1"/>
    </xf>
    <xf numFmtId="0" fontId="5" fillId="3" borderId="6" xfId="0" applyFont="1" applyFill="1" applyBorder="1" applyAlignment="1">
      <alignment horizontal="center" vertical="center" wrapText="1"/>
    </xf>
    <xf numFmtId="0" fontId="5" fillId="3" borderId="6" xfId="0" applyFont="1" applyFill="1" applyBorder="1" applyAlignment="1">
      <alignment horizontal="center" vertical="center"/>
    </xf>
    <xf numFmtId="0" fontId="12" fillId="5" borderId="9" xfId="0" applyFont="1" applyFill="1" applyBorder="1" applyAlignment="1">
      <alignment horizontal="left" vertical="top" wrapText="1"/>
    </xf>
    <xf numFmtId="0" fontId="3" fillId="0" borderId="0" xfId="0" applyFont="1"/>
    <xf numFmtId="0" fontId="3" fillId="0" borderId="0" xfId="0" applyFont="1" applyAlignment="1">
      <alignment horizontal="center"/>
    </xf>
    <xf numFmtId="0" fontId="14" fillId="0" borderId="0" xfId="2" applyFont="1"/>
    <xf numFmtId="0" fontId="6" fillId="2" borderId="6" xfId="1" applyFill="1" applyBorder="1" applyAlignment="1">
      <alignment horizontal="left" vertical="top" wrapText="1"/>
    </xf>
    <xf numFmtId="0" fontId="6" fillId="3" borderId="11" xfId="1" applyFill="1" applyBorder="1" applyAlignment="1">
      <alignment horizontal="left" vertical="top" wrapText="1"/>
    </xf>
    <xf numFmtId="0" fontId="15" fillId="3" borderId="11" xfId="0" applyFont="1" applyFill="1" applyBorder="1" applyAlignment="1">
      <alignment horizontal="left" vertical="top" wrapText="1"/>
    </xf>
    <xf numFmtId="0" fontId="15" fillId="2" borderId="6" xfId="0" applyFont="1" applyFill="1" applyBorder="1" applyAlignment="1">
      <alignment horizontal="left" vertical="top" wrapText="1"/>
    </xf>
    <xf numFmtId="0" fontId="6" fillId="3" borderId="11" xfId="1" applyFill="1" applyBorder="1" applyAlignment="1">
      <alignment horizontal="left" vertical="top"/>
    </xf>
    <xf numFmtId="0" fontId="1" fillId="0" borderId="0" xfId="2" applyAlignment="1">
      <alignment vertical="top"/>
    </xf>
    <xf numFmtId="0" fontId="2" fillId="3" borderId="11" xfId="0" applyFont="1" applyFill="1" applyBorder="1" applyAlignment="1">
      <alignment horizontal="left" vertical="top" wrapText="1"/>
    </xf>
    <xf numFmtId="0" fontId="2" fillId="2" borderId="6" xfId="0" applyFont="1" applyFill="1" applyBorder="1" applyAlignment="1">
      <alignment horizontal="left" vertical="top" wrapText="1"/>
    </xf>
    <xf numFmtId="0" fontId="2" fillId="2" borderId="6" xfId="0" applyFont="1" applyFill="1" applyBorder="1" applyAlignment="1">
      <alignment horizontal="center" vertical="top" wrapText="1"/>
    </xf>
    <xf numFmtId="0" fontId="6" fillId="6" borderId="6" xfId="1" applyFill="1" applyBorder="1" applyAlignment="1">
      <alignment horizontal="left" vertical="top" wrapText="1"/>
    </xf>
    <xf numFmtId="0" fontId="6" fillId="8" borderId="12" xfId="1" applyFill="1" applyBorder="1" applyAlignment="1">
      <alignment horizontal="left" vertical="top" wrapText="1"/>
    </xf>
    <xf numFmtId="0" fontId="16" fillId="0" borderId="0" xfId="0" applyFont="1"/>
    <xf numFmtId="0" fontId="6" fillId="0" borderId="0" xfId="1" applyAlignment="1"/>
    <xf numFmtId="0" fontId="2" fillId="0" borderId="0" xfId="4"/>
    <xf numFmtId="0" fontId="3" fillId="0" borderId="0" xfId="0" applyFont="1" applyAlignment="1">
      <alignment wrapText="1"/>
    </xf>
    <xf numFmtId="0" fontId="14" fillId="0" borderId="0" xfId="2" applyFont="1" applyAlignment="1">
      <alignment wrapText="1"/>
    </xf>
    <xf numFmtId="0" fontId="3" fillId="0" borderId="0" xfId="0" applyFont="1" applyAlignment="1">
      <alignment horizontal="left" wrapText="1"/>
    </xf>
    <xf numFmtId="0" fontId="0" fillId="0" borderId="0" xfId="0" applyAlignment="1">
      <alignment wrapText="1"/>
    </xf>
    <xf numFmtId="0" fontId="6" fillId="0" borderId="12" xfId="1" applyFill="1" applyBorder="1" applyAlignment="1">
      <alignment horizontal="left" vertical="top" wrapText="1"/>
    </xf>
    <xf numFmtId="0" fontId="17" fillId="0" borderId="0" xfId="0" applyFont="1"/>
    <xf numFmtId="0" fontId="6" fillId="6" borderId="12" xfId="1" applyFill="1" applyBorder="1" applyAlignment="1">
      <alignment horizontal="left" vertical="top" wrapText="1"/>
    </xf>
    <xf numFmtId="0" fontId="12" fillId="9" borderId="6" xfId="2" applyFont="1" applyFill="1" applyBorder="1" applyAlignment="1">
      <alignment horizontal="left" wrapText="1"/>
    </xf>
    <xf numFmtId="0" fontId="12" fillId="9" borderId="3" xfId="2" applyFont="1" applyFill="1" applyBorder="1" applyAlignment="1">
      <alignment horizontal="left" wrapText="1"/>
    </xf>
    <xf numFmtId="164" fontId="2" fillId="4" borderId="5" xfId="2" applyNumberFormat="1" applyFont="1" applyFill="1" applyBorder="1" applyAlignment="1">
      <alignment horizontal="left" vertical="top" wrapText="1"/>
    </xf>
    <xf numFmtId="164" fontId="2" fillId="0" borderId="5" xfId="2" applyNumberFormat="1" applyFont="1" applyBorder="1" applyAlignment="1">
      <alignment horizontal="left" vertical="top" wrapText="1"/>
    </xf>
    <xf numFmtId="0" fontId="2" fillId="6" borderId="10" xfId="0" applyFont="1" applyFill="1" applyBorder="1" applyAlignment="1">
      <alignment horizontal="left" vertical="top" wrapText="1"/>
    </xf>
    <xf numFmtId="0" fontId="2" fillId="0" borderId="6" xfId="0" applyFont="1" applyBorder="1" applyAlignment="1">
      <alignment horizontal="left" vertical="top" wrapText="1"/>
    </xf>
    <xf numFmtId="164" fontId="2" fillId="4" borderId="5" xfId="2" applyNumberFormat="1" applyFont="1" applyFill="1" applyBorder="1" applyAlignment="1">
      <alignment horizontal="left" wrapText="1"/>
    </xf>
    <xf numFmtId="164" fontId="2" fillId="0" borderId="5" xfId="2" applyNumberFormat="1" applyFont="1" applyBorder="1" applyAlignment="1">
      <alignment horizontal="left" wrapText="1"/>
    </xf>
    <xf numFmtId="0" fontId="7" fillId="0" borderId="0" xfId="4" applyFont="1" applyAlignment="1">
      <alignment horizontal="left" wrapText="1"/>
    </xf>
    <xf numFmtId="165" fontId="15" fillId="0" borderId="0" xfId="4" applyNumberFormat="1" applyFont="1" applyAlignment="1">
      <alignment horizontal="left"/>
    </xf>
    <xf numFmtId="0" fontId="5" fillId="0" borderId="14" xfId="0" applyFont="1" applyBorder="1"/>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6" fillId="10" borderId="16" xfId="1" applyFill="1" applyBorder="1" applyAlignment="1" applyProtection="1"/>
    <xf numFmtId="0" fontId="0" fillId="0" borderId="20" xfId="0" applyBorder="1"/>
    <xf numFmtId="0" fontId="0" fillId="11" borderId="24" xfId="0" applyFill="1" applyBorder="1"/>
    <xf numFmtId="0" fontId="18" fillId="0" borderId="0" xfId="0" applyFont="1" applyAlignment="1">
      <alignment vertical="center"/>
    </xf>
    <xf numFmtId="49" fontId="7" fillId="0" borderId="28" xfId="0" applyNumberFormat="1" applyFont="1" applyBorder="1" applyAlignment="1">
      <alignment horizontal="left"/>
    </xf>
    <xf numFmtId="166" fontId="7" fillId="0" borderId="28" xfId="0" applyNumberFormat="1" applyFont="1" applyBorder="1" applyAlignment="1">
      <alignment horizontal="left"/>
    </xf>
    <xf numFmtId="49" fontId="2" fillId="0" borderId="28" xfId="0" applyNumberFormat="1" applyFont="1" applyBorder="1" applyAlignment="1">
      <alignment horizontal="left"/>
    </xf>
    <xf numFmtId="166" fontId="2" fillId="0" borderId="28" xfId="0" applyNumberFormat="1" applyFont="1" applyBorder="1" applyAlignment="1">
      <alignment horizontal="left"/>
    </xf>
    <xf numFmtId="49" fontId="15" fillId="0" borderId="29" xfId="0" applyNumberFormat="1" applyFont="1" applyBorder="1" applyAlignment="1">
      <alignment horizontal="left"/>
    </xf>
    <xf numFmtId="0" fontId="4" fillId="0" borderId="0" xfId="0" applyFont="1" applyAlignment="1">
      <alignment horizontal="left" wrapText="1"/>
    </xf>
    <xf numFmtId="0" fontId="2" fillId="0" borderId="30" xfId="0" applyFont="1" applyBorder="1" applyAlignment="1">
      <alignment horizontal="left" wrapText="1"/>
    </xf>
    <xf numFmtId="0" fontId="7" fillId="0" borderId="30" xfId="0" applyFont="1" applyBorder="1" applyAlignment="1">
      <alignment horizontal="left" wrapText="1"/>
    </xf>
    <xf numFmtId="164" fontId="15" fillId="4" borderId="5" xfId="2" applyNumberFormat="1" applyFont="1" applyFill="1" applyBorder="1" applyAlignment="1">
      <alignment horizontal="left" vertical="top" wrapText="1"/>
    </xf>
    <xf numFmtId="164" fontId="15" fillId="0" borderId="5" xfId="2" applyNumberFormat="1" applyFont="1" applyBorder="1" applyAlignment="1">
      <alignment horizontal="left" vertical="top" wrapText="1"/>
    </xf>
    <xf numFmtId="167" fontId="2" fillId="2" borderId="10" xfId="0" applyNumberFormat="1" applyFont="1" applyFill="1" applyBorder="1" applyAlignment="1">
      <alignment horizontal="left" vertical="top" wrapText="1"/>
    </xf>
    <xf numFmtId="167" fontId="2" fillId="6" borderId="10" xfId="0" applyNumberFormat="1" applyFont="1" applyFill="1" applyBorder="1" applyAlignment="1">
      <alignment horizontal="left" vertical="top" wrapText="1"/>
    </xf>
    <xf numFmtId="0" fontId="15" fillId="2" borderId="6" xfId="0" applyFont="1" applyFill="1" applyBorder="1" applyAlignment="1">
      <alignment horizontal="center" vertical="top" wrapText="1"/>
    </xf>
    <xf numFmtId="0" fontId="2" fillId="12" borderId="11" xfId="0" applyFont="1" applyFill="1" applyBorder="1" applyAlignment="1">
      <alignment horizontal="left" vertical="top" wrapText="1"/>
    </xf>
    <xf numFmtId="0" fontId="2" fillId="13" borderId="6" xfId="0" applyFont="1" applyFill="1" applyBorder="1" applyAlignment="1">
      <alignment horizontal="center" vertical="top" wrapText="1"/>
    </xf>
    <xf numFmtId="0" fontId="6" fillId="0" borderId="11" xfId="1" applyFill="1" applyBorder="1" applyAlignment="1">
      <alignment horizontal="left" vertical="top" wrapText="1"/>
    </xf>
    <xf numFmtId="0" fontId="2" fillId="0" borderId="10" xfId="0" applyFont="1" applyBorder="1" applyAlignment="1">
      <alignment horizontal="left" vertical="top" wrapText="1"/>
    </xf>
    <xf numFmtId="167" fontId="2" fillId="0" borderId="10" xfId="0" applyNumberFormat="1" applyFont="1" applyBorder="1" applyAlignment="1">
      <alignment horizontal="left" vertical="top" wrapText="1"/>
    </xf>
    <xf numFmtId="0" fontId="2" fillId="0" borderId="11" xfId="0" applyFont="1" applyBorder="1" applyAlignment="1">
      <alignment horizontal="left" vertical="top" wrapText="1"/>
    </xf>
    <xf numFmtId="0" fontId="2" fillId="0" borderId="11" xfId="0" applyFont="1" applyBorder="1" applyAlignment="1">
      <alignment horizontal="center" vertical="center" wrapText="1"/>
    </xf>
    <xf numFmtId="0" fontId="19" fillId="0" borderId="6" xfId="0" applyFont="1" applyBorder="1" applyAlignment="1">
      <alignment horizontal="left" vertical="top" wrapText="1"/>
    </xf>
    <xf numFmtId="0" fontId="2" fillId="0" borderId="6" xfId="0" applyFont="1" applyBorder="1" applyAlignment="1">
      <alignment horizontal="center" vertical="top" wrapText="1"/>
    </xf>
    <xf numFmtId="0" fontId="6" fillId="12" borderId="12" xfId="1" applyFill="1" applyBorder="1" applyAlignment="1">
      <alignment horizontal="left" vertical="top" wrapText="1"/>
    </xf>
    <xf numFmtId="0" fontId="2" fillId="13" borderId="6" xfId="0" applyFont="1" applyFill="1" applyBorder="1" applyAlignment="1">
      <alignment horizontal="left" vertical="top" wrapText="1"/>
    </xf>
    <xf numFmtId="0" fontId="2" fillId="12" borderId="6" xfId="0" applyFont="1" applyFill="1" applyBorder="1" applyAlignment="1">
      <alignment horizontal="left" vertical="top" wrapText="1"/>
    </xf>
    <xf numFmtId="167" fontId="2" fillId="12" borderId="10" xfId="0" applyNumberFormat="1" applyFont="1" applyFill="1" applyBorder="1" applyAlignment="1">
      <alignment horizontal="left" vertical="top" wrapText="1"/>
    </xf>
    <xf numFmtId="0" fontId="2" fillId="12" borderId="6" xfId="0" applyFont="1" applyFill="1" applyBorder="1" applyAlignment="1">
      <alignment horizontal="center" vertical="top" wrapText="1"/>
    </xf>
    <xf numFmtId="0" fontId="19" fillId="12" borderId="6" xfId="0" applyFont="1" applyFill="1" applyBorder="1" applyAlignment="1">
      <alignment horizontal="left" vertical="top" wrapText="1"/>
    </xf>
    <xf numFmtId="167" fontId="2" fillId="13" borderId="10" xfId="0" applyNumberFormat="1" applyFont="1" applyFill="1" applyBorder="1" applyAlignment="1">
      <alignment horizontal="left" vertical="top" wrapText="1"/>
    </xf>
    <xf numFmtId="0" fontId="2" fillId="12" borderId="0" xfId="0" applyFont="1" applyFill="1" applyAlignment="1">
      <alignment horizontal="left" vertical="top" wrapText="1"/>
    </xf>
    <xf numFmtId="0" fontId="15" fillId="13" borderId="6" xfId="0" applyFont="1" applyFill="1" applyBorder="1" applyAlignment="1">
      <alignment horizontal="center" vertical="top" wrapText="1"/>
    </xf>
    <xf numFmtId="0" fontId="19" fillId="13" borderId="6" xfId="0" applyFont="1" applyFill="1" applyBorder="1" applyAlignment="1">
      <alignment horizontal="center" vertical="center" wrapText="1"/>
    </xf>
    <xf numFmtId="0" fontId="19" fillId="0" borderId="6" xfId="0" applyFont="1" applyBorder="1" applyAlignment="1">
      <alignment horizontal="center" vertical="center" wrapText="1"/>
    </xf>
    <xf numFmtId="167" fontId="2" fillId="0" borderId="6" xfId="0" applyNumberFormat="1" applyFont="1" applyBorder="1" applyAlignment="1">
      <alignment horizontal="left" vertical="center"/>
    </xf>
    <xf numFmtId="167" fontId="2" fillId="7" borderId="6" xfId="0" applyNumberFormat="1" applyFont="1" applyFill="1" applyBorder="1" applyAlignment="1">
      <alignment horizontal="left" vertical="center"/>
    </xf>
    <xf numFmtId="0" fontId="2" fillId="0" borderId="6" xfId="0" applyFont="1" applyBorder="1" applyAlignment="1">
      <alignment horizontal="left" vertical="center" wrapText="1"/>
    </xf>
    <xf numFmtId="0" fontId="2" fillId="7" borderId="6" xfId="0" applyFont="1" applyFill="1" applyBorder="1" applyAlignment="1">
      <alignment wrapText="1"/>
    </xf>
    <xf numFmtId="0" fontId="2" fillId="0" borderId="6" xfId="0" applyFont="1" applyBorder="1" applyAlignment="1">
      <alignment wrapText="1"/>
    </xf>
    <xf numFmtId="0" fontId="2" fillId="7" borderId="6" xfId="0" applyFont="1" applyFill="1" applyBorder="1" applyAlignment="1">
      <alignment vertical="top"/>
    </xf>
    <xf numFmtId="0" fontId="2" fillId="0" borderId="6" xfId="0" applyFont="1" applyBorder="1" applyAlignment="1">
      <alignment vertical="top"/>
    </xf>
    <xf numFmtId="0" fontId="15" fillId="0" borderId="6" xfId="4" applyFont="1" applyBorder="1" applyAlignment="1">
      <alignment horizontal="left" vertical="top" wrapText="1"/>
    </xf>
    <xf numFmtId="0" fontId="15" fillId="0" borderId="11" xfId="0" applyFont="1" applyBorder="1" applyAlignment="1">
      <alignment horizontal="left" vertical="top" wrapText="1"/>
    </xf>
    <xf numFmtId="0" fontId="15" fillId="0" borderId="6" xfId="0" applyFont="1" applyBorder="1" applyAlignment="1">
      <alignment horizontal="left" vertical="top" wrapText="1"/>
    </xf>
    <xf numFmtId="0" fontId="15" fillId="7" borderId="6" xfId="4" applyFont="1" applyFill="1" applyBorder="1" applyAlignment="1">
      <alignment horizontal="left" vertical="top" wrapText="1"/>
    </xf>
    <xf numFmtId="0" fontId="15" fillId="12" borderId="11" xfId="0" applyFont="1" applyFill="1" applyBorder="1" applyAlignment="1">
      <alignment horizontal="left" vertical="top" wrapText="1"/>
    </xf>
    <xf numFmtId="0" fontId="15" fillId="13" borderId="6" xfId="0" applyFont="1" applyFill="1" applyBorder="1" applyAlignment="1">
      <alignment horizontal="left" vertical="top" wrapText="1"/>
    </xf>
    <xf numFmtId="0" fontId="15" fillId="0" borderId="6" xfId="0" applyFont="1" applyBorder="1" applyAlignment="1">
      <alignment horizontal="center" vertical="top" wrapText="1"/>
    </xf>
    <xf numFmtId="0" fontId="15" fillId="12" borderId="6" xfId="0" applyFont="1" applyFill="1" applyBorder="1" applyAlignment="1">
      <alignment horizontal="center" vertical="top" wrapText="1"/>
    </xf>
    <xf numFmtId="0" fontId="20" fillId="0" borderId="0" xfId="0" applyFont="1" applyAlignment="1">
      <alignment horizontal="left"/>
    </xf>
    <xf numFmtId="167" fontId="15" fillId="0" borderId="6" xfId="4" applyNumberFormat="1" applyFont="1" applyBorder="1" applyAlignment="1">
      <alignment horizontal="center" vertical="top"/>
    </xf>
    <xf numFmtId="167" fontId="15" fillId="7" borderId="6" xfId="4" applyNumberFormat="1" applyFont="1" applyFill="1" applyBorder="1" applyAlignment="1">
      <alignment horizontal="center" vertical="top"/>
    </xf>
    <xf numFmtId="0" fontId="15" fillId="0" borderId="6" xfId="4" applyFont="1" applyBorder="1" applyAlignment="1">
      <alignment vertical="top" wrapText="1"/>
    </xf>
    <xf numFmtId="0" fontId="15" fillId="7" borderId="6" xfId="4" applyFont="1" applyFill="1" applyBorder="1" applyAlignment="1">
      <alignment vertical="top" wrapText="1"/>
    </xf>
    <xf numFmtId="0" fontId="2" fillId="0" borderId="11" xfId="0" applyFont="1" applyBorder="1" applyAlignment="1">
      <alignment horizontal="center" vertical="top" wrapText="1"/>
    </xf>
    <xf numFmtId="0" fontId="6" fillId="2" borderId="6" xfId="1" applyFill="1" applyBorder="1" applyAlignment="1">
      <alignment horizontal="center" vertical="top" wrapText="1"/>
    </xf>
    <xf numFmtId="0" fontId="2" fillId="0" borderId="13" xfId="0" applyFont="1" applyBorder="1" applyAlignment="1">
      <alignment horizontal="left" vertical="top" wrapText="1"/>
    </xf>
    <xf numFmtId="166" fontId="2" fillId="0" borderId="31" xfId="0" applyNumberFormat="1" applyFont="1" applyBorder="1" applyAlignment="1">
      <alignment horizontal="left"/>
    </xf>
    <xf numFmtId="0" fontId="2" fillId="0" borderId="32" xfId="0" applyFont="1" applyBorder="1" applyAlignment="1">
      <alignment horizontal="left" wrapText="1"/>
    </xf>
    <xf numFmtId="166" fontId="15" fillId="0" borderId="33" xfId="0" applyNumberFormat="1" applyFont="1" applyBorder="1" applyAlignment="1">
      <alignment horizontal="left"/>
    </xf>
    <xf numFmtId="0" fontId="15" fillId="0" borderId="34" xfId="0" applyFont="1" applyBorder="1" applyAlignment="1">
      <alignment horizontal="left" wrapText="1"/>
    </xf>
    <xf numFmtId="0" fontId="21" fillId="0" borderId="0" xfId="0" applyFont="1" applyAlignment="1">
      <alignment horizontal="left"/>
    </xf>
    <xf numFmtId="0" fontId="2" fillId="0" borderId="0" xfId="0" applyFont="1" applyAlignment="1">
      <alignment horizontal="left"/>
    </xf>
    <xf numFmtId="0" fontId="2" fillId="0" borderId="0" xfId="0" applyFont="1"/>
    <xf numFmtId="0" fontId="2" fillId="0" borderId="0" xfId="0" applyFont="1" applyAlignment="1">
      <alignment horizontal="center"/>
    </xf>
    <xf numFmtId="0" fontId="5" fillId="9" borderId="6" xfId="2" applyFont="1" applyFill="1" applyBorder="1" applyAlignment="1">
      <alignment horizontal="left" wrapText="1"/>
    </xf>
    <xf numFmtId="0" fontId="5" fillId="9" borderId="3" xfId="2" applyFont="1" applyFill="1" applyBorder="1" applyAlignment="1">
      <alignment horizontal="left" wrapText="1"/>
    </xf>
    <xf numFmtId="0" fontId="22" fillId="0" borderId="0" xfId="2" applyFont="1"/>
    <xf numFmtId="0" fontId="5" fillId="0" borderId="0" xfId="0" applyFont="1" applyAlignment="1">
      <alignment horizontal="left" wrapText="1"/>
    </xf>
    <xf numFmtId="0" fontId="5" fillId="0" borderId="4" xfId="0" applyFont="1" applyBorder="1" applyAlignment="1">
      <alignment horizontal="left" wrapText="1"/>
    </xf>
    <xf numFmtId="0" fontId="2" fillId="0" borderId="6" xfId="4" applyBorder="1" applyAlignment="1">
      <alignment vertical="top" wrapText="1"/>
    </xf>
    <xf numFmtId="167" fontId="2" fillId="0" borderId="6" xfId="4" applyNumberFormat="1" applyBorder="1" applyAlignment="1">
      <alignment horizontal="center" vertical="top"/>
    </xf>
    <xf numFmtId="0" fontId="23" fillId="2" borderId="6" xfId="1" applyFont="1" applyFill="1" applyBorder="1" applyAlignment="1">
      <alignment horizontal="center" vertical="center" wrapText="1"/>
    </xf>
    <xf numFmtId="0" fontId="2" fillId="0" borderId="6" xfId="0" applyFont="1" applyBorder="1" applyAlignment="1">
      <alignment horizontal="center" vertical="center" wrapText="1"/>
    </xf>
    <xf numFmtId="0" fontId="2" fillId="7" borderId="6" xfId="4" applyFill="1" applyBorder="1" applyAlignment="1">
      <alignment vertical="top" wrapText="1"/>
    </xf>
    <xf numFmtId="167" fontId="2" fillId="7" borderId="6" xfId="4" applyNumberFormat="1" applyFill="1" applyBorder="1" applyAlignment="1">
      <alignment horizontal="center" vertical="top"/>
    </xf>
    <xf numFmtId="0" fontId="2" fillId="7" borderId="6" xfId="4" applyFill="1" applyBorder="1" applyAlignment="1">
      <alignment horizontal="left" vertical="top" wrapText="1"/>
    </xf>
    <xf numFmtId="0" fontId="23" fillId="3" borderId="11" xfId="1" applyFont="1" applyFill="1" applyBorder="1" applyAlignment="1">
      <alignment horizontal="left" vertical="top"/>
    </xf>
    <xf numFmtId="0" fontId="2" fillId="13" borderId="6" xfId="0" applyFont="1" applyFill="1" applyBorder="1" applyAlignment="1">
      <alignment horizontal="center" vertical="center" wrapText="1"/>
    </xf>
    <xf numFmtId="0" fontId="2" fillId="0" borderId="6" xfId="4" applyBorder="1" applyAlignment="1">
      <alignment horizontal="left" vertical="top" wrapText="1"/>
    </xf>
    <xf numFmtId="0" fontId="23" fillId="2" borderId="6" xfId="1" applyFont="1" applyFill="1" applyBorder="1" applyAlignment="1">
      <alignment horizontal="left" vertical="top" wrapText="1"/>
    </xf>
    <xf numFmtId="0" fontId="5" fillId="3" borderId="11" xfId="0" applyFont="1" applyFill="1" applyBorder="1" applyAlignment="1">
      <alignment horizontal="center" vertical="top"/>
    </xf>
    <xf numFmtId="0" fontId="23" fillId="0" borderId="6" xfId="1" applyFont="1" applyFill="1" applyBorder="1" applyAlignment="1">
      <alignment horizontal="center" vertical="top" wrapText="1"/>
    </xf>
    <xf numFmtId="0" fontId="2" fillId="12" borderId="6" xfId="4" applyFill="1" applyBorder="1" applyAlignment="1">
      <alignment horizontal="left" vertical="top" wrapText="1"/>
    </xf>
    <xf numFmtId="0" fontId="2" fillId="12" borderId="6" xfId="0" applyFont="1" applyFill="1" applyBorder="1" applyAlignment="1">
      <alignment horizontal="center" vertical="top"/>
    </xf>
    <xf numFmtId="0" fontId="2" fillId="12" borderId="6" xfId="0" applyFont="1" applyFill="1" applyBorder="1" applyAlignment="1">
      <alignment vertical="top"/>
    </xf>
    <xf numFmtId="0" fontId="2" fillId="0" borderId="6" xfId="0" applyFont="1" applyBorder="1" applyAlignment="1">
      <alignment horizontal="center" vertical="top"/>
    </xf>
    <xf numFmtId="0" fontId="23" fillId="13" borderId="6" xfId="1" applyFont="1" applyFill="1" applyBorder="1" applyAlignment="1">
      <alignment horizontal="center" vertical="top" wrapText="1"/>
    </xf>
    <xf numFmtId="0" fontId="2" fillId="0" borderId="6" xfId="0" applyFont="1" applyBorder="1" applyAlignment="1">
      <alignment horizontal="center"/>
    </xf>
    <xf numFmtId="0" fontId="2" fillId="0" borderId="6" xfId="0" applyFont="1" applyBorder="1"/>
    <xf numFmtId="0" fontId="2" fillId="7" borderId="6" xfId="0" applyFont="1" applyFill="1" applyBorder="1" applyAlignment="1">
      <alignment horizontal="center"/>
    </xf>
    <xf numFmtId="0" fontId="2" fillId="7" borderId="6" xfId="0" applyFont="1" applyFill="1" applyBorder="1"/>
    <xf numFmtId="167" fontId="2" fillId="7" borderId="6" xfId="4" applyNumberFormat="1" applyFill="1" applyBorder="1" applyAlignment="1">
      <alignment horizontal="left" vertical="top" wrapText="1"/>
    </xf>
    <xf numFmtId="0" fontId="23" fillId="7" borderId="6" xfId="1" applyFont="1" applyFill="1" applyBorder="1" applyAlignment="1">
      <alignment horizontal="center" vertical="top"/>
    </xf>
    <xf numFmtId="0" fontId="2" fillId="7" borderId="6" xfId="0" applyFont="1" applyFill="1" applyBorder="1" applyAlignment="1">
      <alignment horizontal="center" vertical="top"/>
    </xf>
    <xf numFmtId="0" fontId="23" fillId="0" borderId="6" xfId="1" applyFont="1" applyBorder="1" applyAlignment="1">
      <alignment horizontal="center" vertical="top"/>
    </xf>
    <xf numFmtId="0" fontId="2" fillId="0" borderId="6" xfId="0" applyFont="1" applyBorder="1" applyAlignment="1">
      <alignment horizontal="left" vertical="top"/>
    </xf>
    <xf numFmtId="0" fontId="2" fillId="7" borderId="6" xfId="0" applyFont="1" applyFill="1" applyBorder="1" applyAlignment="1">
      <alignment vertical="top" wrapText="1"/>
    </xf>
    <xf numFmtId="0" fontId="2" fillId="7" borderId="6" xfId="0" applyFont="1" applyFill="1" applyBorder="1" applyAlignment="1">
      <alignment horizontal="left" vertical="top" wrapText="1"/>
    </xf>
    <xf numFmtId="0" fontId="23" fillId="2" borderId="6" xfId="1" applyFont="1" applyFill="1" applyBorder="1" applyAlignment="1">
      <alignment horizontal="center" vertical="top" wrapText="1"/>
    </xf>
    <xf numFmtId="167" fontId="2" fillId="0" borderId="6" xfId="4" applyNumberFormat="1" applyBorder="1" applyAlignment="1">
      <alignment horizontal="left" vertical="top"/>
    </xf>
    <xf numFmtId="167" fontId="2" fillId="7" borderId="6" xfId="4" applyNumberFormat="1" applyFill="1" applyBorder="1" applyAlignment="1">
      <alignment horizontal="left" vertical="top"/>
    </xf>
    <xf numFmtId="0" fontId="23" fillId="3" borderId="11" xfId="1" applyFont="1" applyFill="1" applyBorder="1" applyAlignment="1">
      <alignment horizontal="center" vertical="top"/>
    </xf>
    <xf numFmtId="0" fontId="2" fillId="0" borderId="6" xfId="0" applyFont="1" applyBorder="1" applyAlignment="1">
      <alignment vertical="top" wrapText="1"/>
    </xf>
    <xf numFmtId="0" fontId="2" fillId="2" borderId="6" xfId="0" applyFont="1" applyFill="1" applyBorder="1" applyAlignment="1">
      <alignment horizontal="left" vertical="center" wrapText="1"/>
    </xf>
    <xf numFmtId="164" fontId="15" fillId="4" borderId="5" xfId="2" applyNumberFormat="1" applyFont="1" applyFill="1" applyBorder="1" applyAlignment="1">
      <alignment horizontal="left" wrapText="1"/>
    </xf>
    <xf numFmtId="164" fontId="15" fillId="0" borderId="5" xfId="2" applyNumberFormat="1" applyFont="1" applyBorder="1" applyAlignment="1">
      <alignment horizontal="left" wrapText="1"/>
    </xf>
    <xf numFmtId="0" fontId="6" fillId="3" borderId="11" xfId="1" applyFill="1" applyBorder="1" applyAlignment="1">
      <alignment horizontal="center" vertical="top"/>
    </xf>
    <xf numFmtId="0" fontId="15" fillId="12" borderId="6" xfId="0" applyFont="1" applyFill="1" applyBorder="1" applyAlignment="1">
      <alignment horizontal="left" vertical="top" wrapText="1"/>
    </xf>
    <xf numFmtId="0" fontId="7" fillId="0" borderId="0" xfId="4" applyFont="1" applyAlignment="1">
      <alignment horizontal="left" wrapText="1"/>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5" fillId="0" borderId="0" xfId="0" applyFont="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5" fillId="9" borderId="1" xfId="2" applyFont="1" applyFill="1" applyBorder="1" applyAlignment="1">
      <alignment horizontal="left" wrapText="1"/>
    </xf>
    <xf numFmtId="0" fontId="5" fillId="9" borderId="2" xfId="2" applyFont="1" applyFill="1" applyBorder="1" applyAlignment="1">
      <alignment horizontal="left" wrapText="1"/>
    </xf>
    <xf numFmtId="0" fontId="5" fillId="9" borderId="3" xfId="2" applyFont="1" applyFill="1" applyBorder="1" applyAlignment="1">
      <alignment horizontal="left" wrapText="1"/>
    </xf>
    <xf numFmtId="0" fontId="15" fillId="4" borderId="1" xfId="2" applyFont="1" applyFill="1" applyBorder="1" applyAlignment="1">
      <alignment horizontal="left" vertical="top"/>
    </xf>
    <xf numFmtId="0" fontId="15" fillId="4" borderId="2" xfId="2" applyFont="1" applyFill="1" applyBorder="1" applyAlignment="1">
      <alignment horizontal="left" vertical="top"/>
    </xf>
    <xf numFmtId="0" fontId="15" fillId="4" borderId="3" xfId="2" applyFont="1" applyFill="1" applyBorder="1" applyAlignment="1">
      <alignment horizontal="left" vertical="top"/>
    </xf>
    <xf numFmtId="0" fontId="15" fillId="4" borderId="1" xfId="2" applyFont="1" applyFill="1" applyBorder="1" applyAlignment="1">
      <alignment horizontal="left" vertical="top" wrapText="1"/>
    </xf>
    <xf numFmtId="0" fontId="15" fillId="4" borderId="2" xfId="2" applyFont="1" applyFill="1" applyBorder="1" applyAlignment="1">
      <alignment horizontal="left" vertical="top" wrapText="1"/>
    </xf>
    <xf numFmtId="0" fontId="15" fillId="4" borderId="3" xfId="2" applyFont="1" applyFill="1" applyBorder="1" applyAlignment="1">
      <alignment horizontal="left" vertical="top" wrapText="1"/>
    </xf>
    <xf numFmtId="0" fontId="2" fillId="4" borderId="1" xfId="2" applyFont="1" applyFill="1" applyBorder="1" applyAlignment="1">
      <alignment horizontal="left" vertical="top"/>
    </xf>
    <xf numFmtId="0" fontId="2" fillId="4" borderId="2" xfId="2" applyFont="1" applyFill="1" applyBorder="1" applyAlignment="1">
      <alignment horizontal="left" vertical="top"/>
    </xf>
    <xf numFmtId="0" fontId="2" fillId="4" borderId="3" xfId="2" applyFont="1" applyFill="1" applyBorder="1" applyAlignment="1">
      <alignment horizontal="left" vertical="top"/>
    </xf>
    <xf numFmtId="0" fontId="2" fillId="4" borderId="1" xfId="2" applyFont="1" applyFill="1" applyBorder="1" applyAlignment="1">
      <alignment horizontal="left" vertical="top" wrapText="1"/>
    </xf>
    <xf numFmtId="0" fontId="2" fillId="4" borderId="2" xfId="2" applyFont="1" applyFill="1" applyBorder="1" applyAlignment="1">
      <alignment horizontal="left" vertical="top" wrapText="1"/>
    </xf>
    <xf numFmtId="0" fontId="2" fillId="4" borderId="3" xfId="2" applyFont="1" applyFill="1" applyBorder="1" applyAlignment="1">
      <alignment horizontal="left" vertical="top" wrapText="1"/>
    </xf>
    <xf numFmtId="0" fontId="3" fillId="0" borderId="1" xfId="0" applyFont="1" applyBorder="1" applyAlignment="1">
      <alignment horizontal="left" wrapText="1"/>
    </xf>
    <xf numFmtId="0" fontId="3" fillId="0" borderId="2" xfId="0" applyFont="1" applyBorder="1" applyAlignment="1">
      <alignment horizontal="left" wrapText="1"/>
    </xf>
    <xf numFmtId="0" fontId="3" fillId="0" borderId="3" xfId="0" applyFont="1" applyBorder="1" applyAlignment="1">
      <alignment horizontal="left" wrapText="1"/>
    </xf>
    <xf numFmtId="0" fontId="4" fillId="0" borderId="0" xfId="0" applyFont="1" applyAlignment="1">
      <alignment horizontal="left" wrapText="1"/>
    </xf>
    <xf numFmtId="0" fontId="2" fillId="0" borderId="1" xfId="2" applyFont="1" applyBorder="1" applyAlignment="1">
      <alignment horizontal="left" vertical="top" wrapText="1"/>
    </xf>
    <xf numFmtId="0" fontId="2" fillId="0" borderId="2" xfId="2" applyFont="1" applyBorder="1" applyAlignment="1">
      <alignment horizontal="left" vertical="top" wrapText="1"/>
    </xf>
    <xf numFmtId="0" fontId="2" fillId="0" borderId="3" xfId="2" applyFont="1" applyBorder="1" applyAlignment="1">
      <alignment horizontal="left" vertical="top" wrapText="1"/>
    </xf>
    <xf numFmtId="164" fontId="2" fillId="4" borderId="1" xfId="2" applyNumberFormat="1" applyFont="1" applyFill="1" applyBorder="1" applyAlignment="1">
      <alignment horizontal="left" vertical="top" wrapText="1"/>
    </xf>
    <xf numFmtId="164" fontId="2" fillId="4" borderId="2" xfId="2" applyNumberFormat="1" applyFont="1" applyFill="1" applyBorder="1" applyAlignment="1">
      <alignment horizontal="left" vertical="top" wrapText="1"/>
    </xf>
    <xf numFmtId="164" fontId="2" fillId="4" borderId="3" xfId="2" applyNumberFormat="1" applyFont="1" applyFill="1" applyBorder="1" applyAlignment="1">
      <alignment horizontal="left" vertical="top" wrapText="1"/>
    </xf>
    <xf numFmtId="0" fontId="12" fillId="9" borderId="1" xfId="2" applyFont="1" applyFill="1" applyBorder="1" applyAlignment="1">
      <alignment horizontal="left" wrapText="1"/>
    </xf>
    <xf numFmtId="0" fontId="12" fillId="9" borderId="2" xfId="2" applyFont="1" applyFill="1" applyBorder="1" applyAlignment="1">
      <alignment horizontal="left" wrapText="1"/>
    </xf>
    <xf numFmtId="0" fontId="12" fillId="9" borderId="3" xfId="2" applyFont="1" applyFill="1" applyBorder="1" applyAlignment="1">
      <alignment horizontal="left" wrapText="1"/>
    </xf>
    <xf numFmtId="0" fontId="2" fillId="4" borderId="1" xfId="2" applyFont="1" applyFill="1" applyBorder="1" applyAlignment="1">
      <alignment horizontal="left" wrapText="1"/>
    </xf>
    <xf numFmtId="0" fontId="2" fillId="4" borderId="2" xfId="2" applyFont="1" applyFill="1" applyBorder="1" applyAlignment="1">
      <alignment horizontal="left" wrapText="1"/>
    </xf>
    <xf numFmtId="0" fontId="2" fillId="4" borderId="3" xfId="2" applyFont="1" applyFill="1" applyBorder="1" applyAlignment="1">
      <alignment horizontal="left" wrapText="1"/>
    </xf>
  </cellXfs>
  <cellStyles count="5">
    <cellStyle name="Hyperlink" xfId="1" builtinId="8"/>
    <cellStyle name="Hyperlink 2" xfId="3" xr:uid="{00000000-0005-0000-0000-000001000000}"/>
    <cellStyle name="Normal" xfId="0" builtinId="0"/>
    <cellStyle name="Normal 2" xfId="4" xr:uid="{00000000-0005-0000-0000-000003000000}"/>
    <cellStyle name="Normal 9" xfId="2" xr:uid="{00000000-0005-0000-0000-000004000000}"/>
  </cellStyles>
  <dxfs count="16">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B1A0C7"/>
      <color rgb="FFC0C0C0"/>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s://www.bluetooth.org/errata/errata_view.cfm?errata_id=894" TargetMode="External"/><Relationship Id="rId1" Type="http://schemas.openxmlformats.org/officeDocument/2006/relationships/hyperlink" Target="https://www.bluetooth.org/errata/errata_view.cfm?errata_id=894"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www.bluetooth.org/errata/errata_view.cfm?errata_id=894" TargetMode="External"/><Relationship Id="rId2" Type="http://schemas.openxmlformats.org/officeDocument/2006/relationships/hyperlink" Target="https://www.bluetooth.org/errata/errata_view.cfm?errata_id=894" TargetMode="External"/><Relationship Id="rId1" Type="http://schemas.openxmlformats.org/officeDocument/2006/relationships/hyperlink" Target="https://www.bluetooth.org/errata/errata_view.cfm?errata_id=894"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hyperlink" Target="https://www.bluetooth.org/errata/errata_view.cfm?errata_id=894" TargetMode="External"/><Relationship Id="rId2" Type="http://schemas.openxmlformats.org/officeDocument/2006/relationships/hyperlink" Target="https://www.bluetooth.org/errata/errata_view.cfm?errata_id=894" TargetMode="External"/><Relationship Id="rId1" Type="http://schemas.openxmlformats.org/officeDocument/2006/relationships/hyperlink" Target="https://www.bluetooth.org/errata/errata_view.cfm?errata_id=894" TargetMode="External"/><Relationship Id="rId4"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hyperlink" Target="https://bluetooth.atlassian.net/browse/ES-22298" TargetMode="External"/><Relationship Id="rId3" Type="http://schemas.openxmlformats.org/officeDocument/2006/relationships/hyperlink" Target="https://bluetooth.atlassian.net/browse/ES-18854" TargetMode="External"/><Relationship Id="rId7" Type="http://schemas.openxmlformats.org/officeDocument/2006/relationships/hyperlink" Target="https://bluetooth.atlassian.net/browse/ES-19309" TargetMode="External"/><Relationship Id="rId12" Type="http://schemas.openxmlformats.org/officeDocument/2006/relationships/printerSettings" Target="../printerSettings/printerSettings13.bin"/><Relationship Id="rId2" Type="http://schemas.openxmlformats.org/officeDocument/2006/relationships/hyperlink" Target="https://bluetooth.atlassian.net/browse/ES-23130" TargetMode="External"/><Relationship Id="rId1" Type="http://schemas.openxmlformats.org/officeDocument/2006/relationships/hyperlink" Target="https://bluetooth.atlassian.net/browse/ES-24715" TargetMode="External"/><Relationship Id="rId6" Type="http://schemas.openxmlformats.org/officeDocument/2006/relationships/hyperlink" Target="https://bluetooth.atlassian.net/browse/ES-19232" TargetMode="External"/><Relationship Id="rId11" Type="http://schemas.openxmlformats.org/officeDocument/2006/relationships/hyperlink" Target="https://bluetooth.atlassian.net/browse/ES-23862" TargetMode="External"/><Relationship Id="rId5" Type="http://schemas.openxmlformats.org/officeDocument/2006/relationships/hyperlink" Target="https://bluetooth.atlassian.net/browse/ES-19104" TargetMode="External"/><Relationship Id="rId10" Type="http://schemas.openxmlformats.org/officeDocument/2006/relationships/hyperlink" Target="https://bluetooth.atlassian.net/browse/ES-22952" TargetMode="External"/><Relationship Id="rId4" Type="http://schemas.openxmlformats.org/officeDocument/2006/relationships/hyperlink" Target="https://bluetooth.atlassian.net/browse/ES-19094" TargetMode="External"/><Relationship Id="rId9" Type="http://schemas.openxmlformats.org/officeDocument/2006/relationships/hyperlink" Target="https://bluetooth.atlassian.net/browse/ES-22299"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bluetooth.org/errata/errata_view.cfm?errata_id=894"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www.bluetooth.org/errata/errata_view.cfm?errata_id=894"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bluetooth.org/errata/errata_view.cfm?errata_id=894"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www.bluetooth.org/errata/errata_view.cfm?errata_id=894"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bluetooth.org/errata/errata_view.cfm?errata_id=894" TargetMode="External"/><Relationship Id="rId1" Type="http://schemas.openxmlformats.org/officeDocument/2006/relationships/hyperlink" Target="https://www.bluetooth.org/errata/errata_view.cfm?errata_id=894"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bluetooth.org/errata/errata_view.cfm?errata_id=894" TargetMode="External"/><Relationship Id="rId1" Type="http://schemas.openxmlformats.org/officeDocument/2006/relationships/hyperlink" Target="https://www.bluetooth.org/errata/errata_view.cfm?errata_id=894"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bluetooth.org/errata/errata_view.cfm?errata_id=20483" TargetMode="External"/><Relationship Id="rId13" Type="http://schemas.openxmlformats.org/officeDocument/2006/relationships/hyperlink" Target="https://www.bluetooth.org/errata/errata_view.cfm?errata_id=24182" TargetMode="External"/><Relationship Id="rId18" Type="http://schemas.openxmlformats.org/officeDocument/2006/relationships/hyperlink" Target="https://www.bluetooth.org/errata/errata_view.cfm?errata_id=20442" TargetMode="External"/><Relationship Id="rId26" Type="http://schemas.openxmlformats.org/officeDocument/2006/relationships/hyperlink" Target="https://bluetooth.atlassian.net/browse/ES-22921" TargetMode="External"/><Relationship Id="rId3" Type="http://schemas.openxmlformats.org/officeDocument/2006/relationships/hyperlink" Target="https://www.bluetooth.org/errata/errata_view.cfm?errata_id=18876" TargetMode="External"/><Relationship Id="rId21" Type="http://schemas.openxmlformats.org/officeDocument/2006/relationships/hyperlink" Target="https://www.bluetooth.org/errata/errata_view.cfm?errata_id=22754" TargetMode="External"/><Relationship Id="rId7" Type="http://schemas.openxmlformats.org/officeDocument/2006/relationships/hyperlink" Target="https://www.bluetooth.org/errata/errata_view.cfm?errata_id=19296" TargetMode="External"/><Relationship Id="rId12" Type="http://schemas.openxmlformats.org/officeDocument/2006/relationships/hyperlink" Target="https://www.bluetooth.org/errata/errata_view.cfm?errata_id=23760" TargetMode="External"/><Relationship Id="rId17" Type="http://schemas.openxmlformats.org/officeDocument/2006/relationships/hyperlink" Target="https://www.bluetooth.org/errata/errata_view.cfm?errata_id=19289" TargetMode="External"/><Relationship Id="rId25" Type="http://schemas.openxmlformats.org/officeDocument/2006/relationships/hyperlink" Target="https://bluetooth.atlassian.net/browse/ES-22920" TargetMode="External"/><Relationship Id="rId2" Type="http://schemas.openxmlformats.org/officeDocument/2006/relationships/hyperlink" Target="https://www.bluetooth.org/errata/errata_view.cfm?errata_id=18771" TargetMode="External"/><Relationship Id="rId16" Type="http://schemas.openxmlformats.org/officeDocument/2006/relationships/hyperlink" Target="https://www.bluetooth.org/errata/errata_view.cfm?errata_id=19105" TargetMode="External"/><Relationship Id="rId20" Type="http://schemas.openxmlformats.org/officeDocument/2006/relationships/hyperlink" Target="https://www.bluetooth.org/errata/errata_view.cfm?errata_id=22230" TargetMode="External"/><Relationship Id="rId29" Type="http://schemas.openxmlformats.org/officeDocument/2006/relationships/printerSettings" Target="../printerSettings/printerSettings4.bin"/><Relationship Id="rId1" Type="http://schemas.openxmlformats.org/officeDocument/2006/relationships/hyperlink" Target="https://www.bluetooth.org/errata/errata_view.cfm?errata_id=18777" TargetMode="External"/><Relationship Id="rId6" Type="http://schemas.openxmlformats.org/officeDocument/2006/relationships/hyperlink" Target="https://www.bluetooth.org/errata/errata_view.cfm?errata_id=19111" TargetMode="External"/><Relationship Id="rId11" Type="http://schemas.openxmlformats.org/officeDocument/2006/relationships/hyperlink" Target="https://www.bluetooth.org/errata/errata_view.cfm?errata_id=22890" TargetMode="External"/><Relationship Id="rId24" Type="http://schemas.openxmlformats.org/officeDocument/2006/relationships/hyperlink" Target="https://www.bluetooth.org/errata/errata_view.cfm?errata_id=24567" TargetMode="External"/><Relationship Id="rId5" Type="http://schemas.openxmlformats.org/officeDocument/2006/relationships/hyperlink" Target="https://www.bluetooth.org/errata/errata_view.cfm?errata_id=19050" TargetMode="External"/><Relationship Id="rId15" Type="http://schemas.openxmlformats.org/officeDocument/2006/relationships/hyperlink" Target="https://www.bluetooth.org/errata/errata_view.cfm?errata_id=18877" TargetMode="External"/><Relationship Id="rId23" Type="http://schemas.openxmlformats.org/officeDocument/2006/relationships/hyperlink" Target="https://www.bluetooth.org/errata/errata_view.cfm?errata_id=24038" TargetMode="External"/><Relationship Id="rId28" Type="http://schemas.openxmlformats.org/officeDocument/2006/relationships/hyperlink" Target="https://bluetooth.atlassian.net/browse/ES-24995" TargetMode="External"/><Relationship Id="rId10" Type="http://schemas.openxmlformats.org/officeDocument/2006/relationships/hyperlink" Target="https://www.bluetooth.org/errata/errata_view.cfm?errata_id=22266" TargetMode="External"/><Relationship Id="rId19" Type="http://schemas.openxmlformats.org/officeDocument/2006/relationships/hyperlink" Target="https://www.bluetooth.org/errata/errata_view.cfm?errata_id=20597" TargetMode="External"/><Relationship Id="rId4" Type="http://schemas.openxmlformats.org/officeDocument/2006/relationships/hyperlink" Target="https://www.bluetooth.org/errata/errata_view.cfm?errata_id=18849" TargetMode="External"/><Relationship Id="rId9" Type="http://schemas.openxmlformats.org/officeDocument/2006/relationships/hyperlink" Target="https://www.bluetooth.org/errata/errata_view.cfm?errata_id=22215" TargetMode="External"/><Relationship Id="rId14" Type="http://schemas.openxmlformats.org/officeDocument/2006/relationships/hyperlink" Target="https://www.bluetooth.org/errata/errata_view.cfm?errata_id=24730" TargetMode="External"/><Relationship Id="rId22" Type="http://schemas.openxmlformats.org/officeDocument/2006/relationships/hyperlink" Target="https://www.bluetooth.org/errata/errata_view.cfm?errata_id=23025" TargetMode="External"/><Relationship Id="rId27" Type="http://schemas.openxmlformats.org/officeDocument/2006/relationships/hyperlink" Target="https://bluetooth.atlassian.net/browse/ES-24322"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bluetooth.org/errata/errata_view.cfm?errata_id=894"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bluetooth.org/errata/errata_view.cfm?errata_id=894" TargetMode="External"/><Relationship Id="rId3" Type="http://schemas.openxmlformats.org/officeDocument/2006/relationships/hyperlink" Target="https://www.bluetooth.org/errata/errata_view.cfm?errata_id=894" TargetMode="External"/><Relationship Id="rId7" Type="http://schemas.openxmlformats.org/officeDocument/2006/relationships/hyperlink" Target="https://www.bluetooth.org/errata/errata_view.cfm?errata_id=894" TargetMode="External"/><Relationship Id="rId2" Type="http://schemas.openxmlformats.org/officeDocument/2006/relationships/hyperlink" Target="https://www.bluetooth.org/errata/errata_view.cfm?errata_id=894" TargetMode="External"/><Relationship Id="rId1" Type="http://schemas.openxmlformats.org/officeDocument/2006/relationships/hyperlink" Target="https://www.bluetooth.org/errata/errata_view.cfm?errata_id=894" TargetMode="External"/><Relationship Id="rId6" Type="http://schemas.openxmlformats.org/officeDocument/2006/relationships/hyperlink" Target="https://www.bluetooth.org/errata/errata_view.cfm?errata_id=894" TargetMode="External"/><Relationship Id="rId5" Type="http://schemas.openxmlformats.org/officeDocument/2006/relationships/hyperlink" Target="https://www.bluetooth.org/errata/errata_view.cfm?errata_id=894" TargetMode="External"/><Relationship Id="rId4" Type="http://schemas.openxmlformats.org/officeDocument/2006/relationships/hyperlink" Target="https://www.bluetooth.org/errata/errata_view.cfm?errata_id=894" TargetMode="External"/><Relationship Id="rId9"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bluetooth.org/errata/errata_view.cfm?errata_id=894"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bluetooth.org/errata/errata_view.cfm?errata_id=894" TargetMode="External"/><Relationship Id="rId2" Type="http://schemas.openxmlformats.org/officeDocument/2006/relationships/hyperlink" Target="https://www.bluetooth.org/errata/errata_view.cfm?errata_id=894" TargetMode="External"/><Relationship Id="rId1" Type="http://schemas.openxmlformats.org/officeDocument/2006/relationships/hyperlink" Target="https://www.bluetooth.org/errata/errata_view.cfm?errata_id=894"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bluetooth.org/errata/errata_view.cfm?errata_id=89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tabSelected="1" zoomScaleNormal="100" workbookViewId="0"/>
  </sheetViews>
  <sheetFormatPr defaultColWidth="11.42578125" defaultRowHeight="12.75"/>
  <cols>
    <col min="1" max="2" width="16.5703125" style="6" customWidth="1"/>
    <col min="3" max="3" width="66.85546875" style="6" customWidth="1"/>
    <col min="4" max="6" width="16.5703125" style="6" customWidth="1"/>
    <col min="7" max="16384" width="11.42578125" style="6"/>
  </cols>
  <sheetData>
    <row r="1" spans="1:6" ht="23.25">
      <c r="A1" s="5" t="s">
        <v>25</v>
      </c>
    </row>
    <row r="2" spans="1:6" ht="18">
      <c r="A2" s="7" t="s">
        <v>0</v>
      </c>
      <c r="B2" s="8"/>
      <c r="C2" s="8"/>
    </row>
    <row r="3" spans="1:6">
      <c r="A3" s="9"/>
    </row>
    <row r="4" spans="1:6" ht="41.25" customHeight="1">
      <c r="A4" s="176" t="s">
        <v>19</v>
      </c>
      <c r="B4" s="176"/>
      <c r="C4" s="176"/>
    </row>
    <row r="5" spans="1:6" ht="13.5" thickBot="1">
      <c r="A5" s="58"/>
      <c r="B5" s="58"/>
      <c r="C5" s="58"/>
    </row>
    <row r="6" spans="1:6" ht="13.5" thickBot="1">
      <c r="A6" s="60" t="s">
        <v>67</v>
      </c>
      <c r="B6" s="61"/>
      <c r="C6" s="62"/>
      <c r="D6" s="62"/>
      <c r="E6" s="62"/>
      <c r="F6" s="63"/>
    </row>
    <row r="7" spans="1:6">
      <c r="A7" s="64"/>
      <c r="B7" s="177" t="s">
        <v>68</v>
      </c>
      <c r="C7" s="178"/>
      <c r="D7" s="178"/>
      <c r="E7" s="178"/>
      <c r="F7" s="179"/>
    </row>
    <row r="8" spans="1:6">
      <c r="A8" s="65"/>
      <c r="B8" s="180" t="s">
        <v>69</v>
      </c>
      <c r="C8" s="181"/>
      <c r="D8" s="181"/>
      <c r="E8" s="181"/>
      <c r="F8" s="182"/>
    </row>
    <row r="9" spans="1:6" ht="12.75" customHeight="1" thickBot="1">
      <c r="A9" s="66"/>
      <c r="B9" s="183" t="s">
        <v>70</v>
      </c>
      <c r="C9" s="184"/>
      <c r="D9" s="184"/>
      <c r="E9" s="184"/>
      <c r="F9" s="185"/>
    </row>
    <row r="11" spans="1:6" ht="15.75">
      <c r="A11" s="67" t="s">
        <v>71</v>
      </c>
    </row>
    <row r="13" spans="1:6">
      <c r="A13" s="6" t="s">
        <v>10</v>
      </c>
      <c r="B13" s="59">
        <v>45706</v>
      </c>
    </row>
    <row r="15" spans="1:6" ht="18">
      <c r="A15" s="10" t="s">
        <v>12</v>
      </c>
      <c r="B15" s="11"/>
      <c r="C15" s="12"/>
      <c r="D15" s="13"/>
    </row>
    <row r="16" spans="1:6" ht="13.5" thickBot="1">
      <c r="A16" s="14"/>
      <c r="B16" s="15"/>
      <c r="C16" s="16"/>
      <c r="D16" s="14"/>
    </row>
    <row r="17" spans="1:4">
      <c r="A17" s="17" t="s">
        <v>13</v>
      </c>
      <c r="B17" s="18" t="s">
        <v>14</v>
      </c>
      <c r="C17" s="25" t="s">
        <v>15</v>
      </c>
    </row>
    <row r="18" spans="1:4" ht="12.75" customHeight="1">
      <c r="A18" s="68" t="s">
        <v>11</v>
      </c>
      <c r="B18" s="69">
        <v>44740</v>
      </c>
      <c r="C18" s="75" t="s">
        <v>63</v>
      </c>
      <c r="D18" s="14"/>
    </row>
    <row r="19" spans="1:4" ht="25.5">
      <c r="A19" s="70" t="s">
        <v>64</v>
      </c>
      <c r="B19" s="71">
        <v>44964</v>
      </c>
      <c r="C19" s="74" t="s">
        <v>65</v>
      </c>
    </row>
    <row r="20" spans="1:4" ht="25.5">
      <c r="A20" s="70" t="s">
        <v>66</v>
      </c>
      <c r="B20" s="71">
        <v>45106</v>
      </c>
      <c r="C20" s="74" t="s">
        <v>72</v>
      </c>
    </row>
    <row r="21" spans="1:4" ht="25.5">
      <c r="A21" s="70" t="s">
        <v>73</v>
      </c>
      <c r="B21" s="71">
        <v>45474</v>
      </c>
      <c r="C21" s="74" t="s">
        <v>74</v>
      </c>
    </row>
    <row r="22" spans="1:4" ht="51">
      <c r="A22" s="70" t="s">
        <v>75</v>
      </c>
      <c r="B22" s="124">
        <v>45573</v>
      </c>
      <c r="C22" s="125" t="s">
        <v>194</v>
      </c>
    </row>
    <row r="23" spans="1:4" ht="39" thickBot="1">
      <c r="A23" s="72" t="s">
        <v>206</v>
      </c>
      <c r="B23" s="126">
        <v>45706</v>
      </c>
      <c r="C23" s="127" t="s">
        <v>267</v>
      </c>
    </row>
  </sheetData>
  <mergeCells count="4">
    <mergeCell ref="A4:C4"/>
    <mergeCell ref="B7:F7"/>
    <mergeCell ref="B8:F8"/>
    <mergeCell ref="B9:F9"/>
  </mergeCells>
  <pageMargins left="0.74791666666666667" right="0.74791666666666667" top="0.98402777777777783" bottom="0.98402777777777783" header="0.51180555555555562" footer="0.5118055555555556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5E9A8-3066-4B9D-8712-F0460C9BE3CD}">
  <sheetPr>
    <tabColor rgb="FFB1A0C7"/>
    <outlinePr summaryBelow="0" summaryRight="0"/>
  </sheetPr>
  <dimension ref="A1:J28"/>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16" t="s">
        <v>254</v>
      </c>
      <c r="B1" s="129"/>
      <c r="C1" s="129"/>
      <c r="D1" s="130"/>
      <c r="E1" s="130"/>
      <c r="F1" s="131"/>
      <c r="G1" s="131"/>
      <c r="H1" s="131"/>
      <c r="I1" s="131"/>
      <c r="J1" s="26"/>
    </row>
    <row r="2" spans="1:10" ht="66.75" customHeight="1" thickBot="1">
      <c r="A2" s="187" t="s">
        <v>207</v>
      </c>
      <c r="B2" s="188"/>
      <c r="C2" s="188"/>
      <c r="D2" s="188"/>
      <c r="E2" s="188"/>
      <c r="F2" s="188"/>
      <c r="G2" s="188"/>
      <c r="H2" s="188"/>
      <c r="I2" s="189"/>
      <c r="J2" s="26"/>
    </row>
    <row r="3" spans="1:10" ht="51.95" customHeight="1" thickBot="1">
      <c r="A3" s="187" t="s">
        <v>22</v>
      </c>
      <c r="B3" s="188"/>
      <c r="C3" s="188"/>
      <c r="D3" s="188"/>
      <c r="E3" s="188"/>
      <c r="F3" s="188"/>
      <c r="G3" s="188"/>
      <c r="H3" s="188"/>
      <c r="I3" s="189"/>
      <c r="J3" s="26"/>
    </row>
    <row r="4" spans="1:10" s="4" customFormat="1" ht="27.95" customHeight="1" thickBot="1">
      <c r="A4" s="132" t="s">
        <v>7</v>
      </c>
      <c r="B4" s="133" t="s">
        <v>5</v>
      </c>
      <c r="C4" s="132" t="s">
        <v>23</v>
      </c>
      <c r="D4" s="190" t="s">
        <v>8</v>
      </c>
      <c r="E4" s="191"/>
      <c r="F4" s="192"/>
      <c r="G4" s="190" t="s">
        <v>17</v>
      </c>
      <c r="H4" s="191"/>
      <c r="I4" s="192"/>
      <c r="J4" s="26"/>
    </row>
    <row r="5" spans="1:10" s="34" customFormat="1" ht="13.5" customHeight="1" thickBot="1">
      <c r="A5" s="76" t="s">
        <v>253</v>
      </c>
      <c r="B5" s="77">
        <v>45699</v>
      </c>
      <c r="C5" s="76" t="s">
        <v>9</v>
      </c>
      <c r="D5" s="193" t="s">
        <v>252</v>
      </c>
      <c r="E5" s="194"/>
      <c r="F5" s="195"/>
      <c r="G5" s="196" t="s">
        <v>16</v>
      </c>
      <c r="H5" s="197"/>
      <c r="I5" s="198"/>
      <c r="J5" s="26"/>
    </row>
    <row r="6" spans="1:10" s="4" customFormat="1" ht="15">
      <c r="A6" s="134"/>
      <c r="B6" s="134"/>
      <c r="C6" s="134"/>
      <c r="D6" s="134"/>
      <c r="E6" s="134"/>
      <c r="F6" s="134"/>
      <c r="G6" s="134"/>
      <c r="H6" s="134"/>
      <c r="I6" s="134"/>
      <c r="J6" s="26"/>
    </row>
    <row r="7" spans="1:10" ht="21" customHeight="1">
      <c r="A7" s="186" t="s">
        <v>6</v>
      </c>
      <c r="B7" s="186"/>
      <c r="C7" s="135"/>
      <c r="D7" s="130"/>
      <c r="E7" s="130"/>
      <c r="F7" s="131"/>
      <c r="G7" s="131"/>
      <c r="H7" s="131"/>
      <c r="I7" s="131"/>
      <c r="J7" s="26"/>
    </row>
    <row r="8" spans="1:10" ht="21" customHeight="1" thickBot="1">
      <c r="A8" s="129" t="s">
        <v>132</v>
      </c>
      <c r="B8" s="136"/>
      <c r="C8" s="135"/>
      <c r="D8" s="129"/>
      <c r="E8" s="130"/>
      <c r="F8" s="131"/>
      <c r="G8" s="131"/>
      <c r="H8" s="131"/>
      <c r="I8" s="131"/>
      <c r="J8" s="26"/>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39" thickBot="1">
      <c r="A10" s="29">
        <f>HYPERLINK("https://bluetooth.atlassian.net/browse/ES-19133",19133)</f>
        <v>19133</v>
      </c>
      <c r="B10" s="119" t="s">
        <v>255</v>
      </c>
      <c r="C10" s="117">
        <v>1</v>
      </c>
      <c r="D10" s="110" t="s">
        <v>256</v>
      </c>
      <c r="E10" s="109" t="s">
        <v>83</v>
      </c>
      <c r="F10" s="80" t="s">
        <v>1</v>
      </c>
      <c r="G10" s="87"/>
      <c r="H10" s="139"/>
      <c r="I10" s="140"/>
      <c r="J10" s="36"/>
    </row>
    <row r="11" spans="1:10" s="2" customFormat="1" ht="27.95" customHeight="1" thickBot="1">
      <c r="A11" s="30">
        <f>HYPERLINK("https://bluetooth.atlassian.net/browse/ES-19203",19203)</f>
        <v>19203</v>
      </c>
      <c r="B11" s="120" t="s">
        <v>255</v>
      </c>
      <c r="C11" s="118">
        <v>1</v>
      </c>
      <c r="D11" s="111" t="s">
        <v>257</v>
      </c>
      <c r="E11" s="112" t="s">
        <v>4</v>
      </c>
      <c r="F11" s="98" t="s">
        <v>1</v>
      </c>
      <c r="G11" s="91"/>
      <c r="H11" s="144"/>
      <c r="I11" s="145"/>
      <c r="J11" s="35"/>
    </row>
    <row r="12" spans="1:10" s="2" customFormat="1" ht="28.5" customHeight="1" thickBot="1">
      <c r="A12" s="29">
        <f>HYPERLINK("https://bluetooth.atlassian.net/browse/ES-19303",19303)</f>
        <v>19303</v>
      </c>
      <c r="B12" s="119" t="s">
        <v>255</v>
      </c>
      <c r="C12" s="117">
        <v>1</v>
      </c>
      <c r="D12" s="108" t="s">
        <v>97</v>
      </c>
      <c r="E12" s="109" t="s">
        <v>4</v>
      </c>
      <c r="F12" s="114" t="s">
        <v>1</v>
      </c>
      <c r="G12" s="55"/>
      <c r="H12" s="147"/>
      <c r="I12" s="140"/>
      <c r="J12" s="36"/>
    </row>
    <row r="13" spans="1:10" s="2" customFormat="1" ht="27" customHeight="1" thickBot="1">
      <c r="A13" s="30">
        <f>HYPERLINK("https://bluetooth.atlassian.net/browse/ES-20422",20422)</f>
        <v>20422</v>
      </c>
      <c r="B13" s="120" t="s">
        <v>255</v>
      </c>
      <c r="C13" s="118">
        <v>1</v>
      </c>
      <c r="D13" s="111" t="s">
        <v>258</v>
      </c>
      <c r="E13" s="112" t="s">
        <v>4</v>
      </c>
      <c r="F13" s="115" t="s">
        <v>1</v>
      </c>
      <c r="G13" s="92"/>
      <c r="H13" s="148"/>
      <c r="I13" s="145"/>
      <c r="J13" s="35"/>
    </row>
    <row r="14" spans="1:10" s="2" customFormat="1" ht="28.5" customHeight="1" thickBot="1">
      <c r="A14" s="29">
        <f>HYPERLINK("https://bluetooth.atlassian.net/browse/ES-23816",23816)</f>
        <v>23816</v>
      </c>
      <c r="B14" s="119" t="s">
        <v>255</v>
      </c>
      <c r="C14" s="117">
        <v>1</v>
      </c>
      <c r="D14" s="108" t="s">
        <v>107</v>
      </c>
      <c r="E14" s="109" t="s">
        <v>4</v>
      </c>
      <c r="F14" s="114" t="s">
        <v>1</v>
      </c>
      <c r="G14" s="55"/>
      <c r="H14" s="147"/>
      <c r="I14" s="140"/>
      <c r="J14" s="36"/>
    </row>
    <row r="15" spans="1:10" s="2" customFormat="1" ht="27" customHeight="1" thickBot="1">
      <c r="A15" s="30">
        <f>HYPERLINK("https://bluetooth.atlassian.net/browse/ES-25541",25541)</f>
        <v>25541</v>
      </c>
      <c r="B15" s="120" t="s">
        <v>255</v>
      </c>
      <c r="C15" s="118">
        <v>1</v>
      </c>
      <c r="D15" s="111" t="s">
        <v>259</v>
      </c>
      <c r="E15" s="112" t="s">
        <v>85</v>
      </c>
      <c r="F15" s="115" t="s">
        <v>82</v>
      </c>
      <c r="G15" s="175">
        <v>3</v>
      </c>
      <c r="H15" s="174">
        <f>HYPERLINK("https://bluetooth.atlassian.net/browse/ES-25535",25535)</f>
        <v>25535</v>
      </c>
      <c r="I15" s="98" t="s">
        <v>24</v>
      </c>
      <c r="J15" s="31" t="s">
        <v>268</v>
      </c>
    </row>
    <row r="18" spans="1:9" ht="15.75" customHeight="1">
      <c r="F18"/>
    </row>
    <row r="19" spans="1:9" ht="15.75" customHeight="1">
      <c r="F19"/>
    </row>
    <row r="20" spans="1:9" ht="15.75" customHeight="1">
      <c r="F20"/>
    </row>
    <row r="21" spans="1:9" ht="15.75" customHeight="1">
      <c r="F21"/>
    </row>
    <row r="22" spans="1:9" ht="15.75" customHeight="1">
      <c r="F22"/>
    </row>
    <row r="23" spans="1:9" ht="15.75" customHeight="1">
      <c r="F23"/>
    </row>
    <row r="25" spans="1:9" ht="15.75" customHeight="1">
      <c r="A25" s="41"/>
      <c r="B25" s="42"/>
      <c r="C25" s="42"/>
      <c r="D25" s="42"/>
      <c r="F25" s="42"/>
      <c r="G25" s="42"/>
      <c r="H25" s="42"/>
      <c r="I25" s="42"/>
    </row>
    <row r="26" spans="1:9" ht="15.75" customHeight="1">
      <c r="A26" s="41"/>
      <c r="B26" s="42"/>
      <c r="C26" s="42"/>
      <c r="D26" s="42"/>
      <c r="F26" s="42"/>
      <c r="G26" s="42"/>
      <c r="H26" s="42"/>
      <c r="I26" s="42"/>
    </row>
    <row r="27" spans="1:9" ht="15.75" customHeight="1">
      <c r="A27" s="41"/>
      <c r="B27" s="42"/>
      <c r="C27" s="42"/>
      <c r="D27" s="42"/>
      <c r="F27" s="42"/>
      <c r="G27" s="42"/>
      <c r="H27" s="42"/>
      <c r="I27" s="42"/>
    </row>
    <row r="28" spans="1:9" ht="15.75" customHeight="1">
      <c r="A28" s="41"/>
      <c r="B28" s="42"/>
      <c r="C28" s="42"/>
      <c r="D28" s="42"/>
      <c r="F28" s="42"/>
      <c r="G28" s="42"/>
      <c r="H28" s="42"/>
      <c r="I28" s="42"/>
    </row>
  </sheetData>
  <mergeCells count="7">
    <mergeCell ref="A7:B7"/>
    <mergeCell ref="A2:I2"/>
    <mergeCell ref="A3:I3"/>
    <mergeCell ref="D4:F4"/>
    <mergeCell ref="G4:I4"/>
    <mergeCell ref="D5:F5"/>
    <mergeCell ref="G5:I5"/>
  </mergeCells>
  <conditionalFormatting sqref="F10:F15">
    <cfRule type="cellIs" dxfId="7" priority="1" operator="greaterThan">
      <formula>"Yes"</formula>
    </cfRule>
  </conditionalFormatting>
  <dataValidations count="6">
    <dataValidation allowBlank="1" sqref="H10:H15" xr:uid="{FAB4F49B-0997-4410-BCA9-EA5FFE2A4DDF}"/>
    <dataValidation type="list" allowBlank="1" sqref="F9:I9" xr:uid="{81971684-BCBF-436F-B8C1-74D35744FCDD}">
      <formula1>#REF!</formula1>
    </dataValidation>
    <dataValidation type="list" allowBlank="1" sqref="F10:F15" xr:uid="{6E5ACEEF-79AD-4B61-A157-8EF0D1387443}">
      <formula1>"No,Yes - doesn't need to wait for erratum,Yes - tied to spec change,Not Reviewed"</formula1>
    </dataValidation>
    <dataValidation type="list" allowBlank="1" showInputMessage="1" showErrorMessage="1" sqref="E10:E15" xr:uid="{D7ED78B9-4ED0-45AF-82E7-B0EB8FEF82D2}">
      <formula1>"Editorial,1/Technical Low,2/Technical Medium,3/Technical High,4/Technical Critical,Not Categorized"</formula1>
    </dataValidation>
    <dataValidation type="list" allowBlank="1" showInputMessage="1" showErrorMessage="1" sqref="G10:G15" xr:uid="{D641F64A-10F8-48BF-86D3-A634C75A2F04}">
      <formula1>"1,2,3,4,Not Categorized"</formula1>
    </dataValidation>
    <dataValidation type="list" allowBlank="1" sqref="I10:I15" xr:uid="{8FF0C6CA-740C-4A34-A068-D6AB405E2B60}">
      <formula1>"Open,Approved,Rejected,Released"</formula1>
    </dataValidation>
  </dataValidations>
  <hyperlinks>
    <hyperlink ref="A12" r:id="rId1" display="https://www.bluetooth.org/errata/errata_view.cfm?errata_id=894" xr:uid="{8D8CDE4E-5826-46C3-87D1-B86460AD7DDA}"/>
    <hyperlink ref="A14" r:id="rId2" display="https://www.bluetooth.org/errata/errata_view.cfm?errata_id=894" xr:uid="{871D35C6-9245-40A1-98F5-B6859B7A9BEE}"/>
  </hyperlinks>
  <pageMargins left="0.7" right="0.7" top="0.75" bottom="0.75" header="0.3" footer="0.3"/>
  <pageSetup paperSize="9" orientation="portrait" horizontalDpi="300" verticalDpi="300"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188B1-6319-4FD5-9FCF-C4C612F94008}">
  <sheetPr>
    <outlinePr summaryBelow="0" summaryRight="0"/>
  </sheetPr>
  <dimension ref="A1:J28"/>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28" t="s">
        <v>151</v>
      </c>
      <c r="B1" s="129"/>
      <c r="C1" s="129"/>
      <c r="D1" s="130"/>
      <c r="E1" s="130"/>
      <c r="F1" s="131"/>
      <c r="G1" s="131"/>
      <c r="H1" s="131"/>
      <c r="I1" s="131"/>
      <c r="J1" s="130"/>
    </row>
    <row r="2" spans="1:10" ht="66.75" customHeight="1" thickBot="1">
      <c r="A2" s="187" t="s">
        <v>207</v>
      </c>
      <c r="B2" s="188"/>
      <c r="C2" s="188"/>
      <c r="D2" s="188"/>
      <c r="E2" s="188"/>
      <c r="F2" s="188"/>
      <c r="G2" s="188"/>
      <c r="H2" s="188"/>
      <c r="I2" s="189"/>
      <c r="J2" s="130"/>
    </row>
    <row r="3" spans="1:10" ht="51.95" customHeight="1" thickBot="1">
      <c r="A3" s="187" t="s">
        <v>22</v>
      </c>
      <c r="B3" s="188"/>
      <c r="C3" s="188"/>
      <c r="D3" s="188"/>
      <c r="E3" s="188"/>
      <c r="F3" s="188"/>
      <c r="G3" s="188"/>
      <c r="H3" s="188"/>
      <c r="I3" s="189"/>
      <c r="J3" s="130"/>
    </row>
    <row r="4" spans="1:10" s="4" customFormat="1" ht="27.95" customHeight="1" thickBot="1">
      <c r="A4" s="132" t="s">
        <v>7</v>
      </c>
      <c r="B4" s="133" t="s">
        <v>5</v>
      </c>
      <c r="C4" s="132" t="s">
        <v>23</v>
      </c>
      <c r="D4" s="190" t="s">
        <v>8</v>
      </c>
      <c r="E4" s="191"/>
      <c r="F4" s="192"/>
      <c r="G4" s="190" t="s">
        <v>17</v>
      </c>
      <c r="H4" s="191"/>
      <c r="I4" s="192"/>
      <c r="J4" s="130"/>
    </row>
    <row r="5" spans="1:10" s="34" customFormat="1" ht="13.5" customHeight="1" thickBot="1">
      <c r="A5" s="52" t="s">
        <v>152</v>
      </c>
      <c r="B5" s="53">
        <v>45566</v>
      </c>
      <c r="C5" s="52" t="s">
        <v>9</v>
      </c>
      <c r="D5" s="199" t="s">
        <v>153</v>
      </c>
      <c r="E5" s="200"/>
      <c r="F5" s="201"/>
      <c r="G5" s="202" t="s">
        <v>16</v>
      </c>
      <c r="H5" s="203"/>
      <c r="I5" s="204"/>
      <c r="J5" s="130"/>
    </row>
    <row r="6" spans="1:10" s="4" customFormat="1" ht="15">
      <c r="A6" s="134"/>
      <c r="B6" s="134"/>
      <c r="C6" s="134"/>
      <c r="D6" s="134"/>
      <c r="E6" s="134"/>
      <c r="F6" s="134"/>
      <c r="G6" s="134"/>
      <c r="H6" s="134"/>
      <c r="I6" s="134"/>
      <c r="J6" s="130"/>
    </row>
    <row r="7" spans="1:10" ht="21" customHeight="1">
      <c r="A7" s="186" t="s">
        <v>6</v>
      </c>
      <c r="B7" s="186"/>
      <c r="C7" s="135"/>
      <c r="D7" s="130"/>
      <c r="E7" s="130"/>
      <c r="F7" s="131"/>
      <c r="G7" s="131"/>
      <c r="H7" s="131"/>
      <c r="I7" s="131"/>
      <c r="J7" s="130"/>
    </row>
    <row r="8" spans="1:10" ht="21" customHeight="1" thickBot="1">
      <c r="A8" s="129" t="s">
        <v>132</v>
      </c>
      <c r="B8" s="136"/>
      <c r="C8" s="135"/>
      <c r="D8" s="129"/>
      <c r="E8" s="130"/>
      <c r="F8" s="131"/>
      <c r="G8" s="131"/>
      <c r="H8" s="131"/>
      <c r="I8" s="131"/>
      <c r="J8" s="130"/>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HYPERLINK("https://bluetooth.atlassian.net/browse/ES-15623",15623)</f>
        <v>15623</v>
      </c>
      <c r="B10" s="137" t="s">
        <v>154</v>
      </c>
      <c r="C10" s="138">
        <v>1</v>
      </c>
      <c r="D10" s="55" t="s">
        <v>155</v>
      </c>
      <c r="E10" s="86" t="s">
        <v>4</v>
      </c>
      <c r="F10" s="37" t="s">
        <v>1</v>
      </c>
      <c r="G10" s="87"/>
      <c r="H10" s="139"/>
      <c r="I10" s="140"/>
      <c r="J10" s="36"/>
    </row>
    <row r="11" spans="1:10" s="2" customFormat="1" ht="27.95" customHeight="1" thickBot="1">
      <c r="A11" s="30">
        <f>HYPERLINK("https://bluetooth.atlassian.net/browse/ES-15933",15933)</f>
        <v>15933</v>
      </c>
      <c r="B11" s="141" t="s">
        <v>154</v>
      </c>
      <c r="C11" s="142">
        <v>1</v>
      </c>
      <c r="D11" s="143" t="s">
        <v>156</v>
      </c>
      <c r="E11" s="81" t="s">
        <v>4</v>
      </c>
      <c r="F11" s="82" t="s">
        <v>1</v>
      </c>
      <c r="G11" s="91"/>
      <c r="H11" s="144"/>
      <c r="I11" s="145"/>
      <c r="J11" s="35"/>
    </row>
    <row r="12" spans="1:10" s="2" customFormat="1" ht="28.5" customHeight="1" thickBot="1">
      <c r="A12" s="29">
        <f>HYPERLINK("https://bluetooth.atlassian.net/browse/ES-15957",15957)</f>
        <v>15957</v>
      </c>
      <c r="B12" s="137" t="s">
        <v>154</v>
      </c>
      <c r="C12" s="138">
        <v>1</v>
      </c>
      <c r="D12" s="146" t="s">
        <v>157</v>
      </c>
      <c r="E12" s="86" t="s">
        <v>4</v>
      </c>
      <c r="F12" s="89" t="s">
        <v>1</v>
      </c>
      <c r="G12" s="55"/>
      <c r="H12" s="147"/>
      <c r="I12" s="140"/>
      <c r="J12" s="36"/>
    </row>
    <row r="13" spans="1:10" s="2" customFormat="1" ht="27" customHeight="1" thickBot="1">
      <c r="A13" s="30">
        <f>HYPERLINK("https://bluetooth.atlassian.net/browse/ES-16047",16047)</f>
        <v>16047</v>
      </c>
      <c r="B13" s="141" t="s">
        <v>154</v>
      </c>
      <c r="C13" s="142">
        <v>1</v>
      </c>
      <c r="D13" s="143" t="s">
        <v>158</v>
      </c>
      <c r="E13" s="81" t="s">
        <v>85</v>
      </c>
      <c r="F13" s="94" t="s">
        <v>1</v>
      </c>
      <c r="G13" s="92"/>
      <c r="H13" s="148"/>
      <c r="I13" s="145"/>
      <c r="J13" s="35"/>
    </row>
    <row r="14" spans="1:10" s="2" customFormat="1" ht="26.25" thickBot="1">
      <c r="A14" s="29">
        <f>HYPERLINK("https://bluetooth.atlassian.net/browse/ES-16056",16056)</f>
        <v>16056</v>
      </c>
      <c r="B14" s="137" t="s">
        <v>154</v>
      </c>
      <c r="C14" s="138">
        <v>1</v>
      </c>
      <c r="D14" s="55" t="s">
        <v>159</v>
      </c>
      <c r="E14" s="86" t="s">
        <v>85</v>
      </c>
      <c r="F14" s="37" t="s">
        <v>1</v>
      </c>
      <c r="G14" s="87"/>
      <c r="H14" s="139"/>
      <c r="I14" s="140"/>
      <c r="J14" s="36"/>
    </row>
    <row r="15" spans="1:10" s="2" customFormat="1" ht="27.95" customHeight="1" thickBot="1">
      <c r="A15" s="30">
        <f>HYPERLINK("https://bluetooth.atlassian.net/browse/ES-17227",17227)</f>
        <v>17227</v>
      </c>
      <c r="B15" s="141" t="s">
        <v>154</v>
      </c>
      <c r="C15" s="142">
        <v>1</v>
      </c>
      <c r="D15" s="143" t="s">
        <v>160</v>
      </c>
      <c r="E15" s="81" t="s">
        <v>4</v>
      </c>
      <c r="F15" s="82" t="s">
        <v>1</v>
      </c>
      <c r="G15" s="91"/>
      <c r="H15" s="144"/>
      <c r="I15" s="145"/>
      <c r="J15" s="35"/>
    </row>
    <row r="16" spans="1:10" s="2" customFormat="1" ht="28.5" customHeight="1" thickBot="1">
      <c r="A16" s="29">
        <f>HYPERLINK("https://bluetooth.atlassian.net/browse/ES-18892",18892)</f>
        <v>18892</v>
      </c>
      <c r="B16" s="137" t="s">
        <v>154</v>
      </c>
      <c r="C16" s="138">
        <v>1</v>
      </c>
      <c r="D16" s="146" t="s">
        <v>161</v>
      </c>
      <c r="E16" s="86" t="s">
        <v>4</v>
      </c>
      <c r="F16" s="89" t="s">
        <v>1</v>
      </c>
      <c r="G16" s="55"/>
      <c r="H16" s="147"/>
      <c r="I16" s="140"/>
      <c r="J16" s="36"/>
    </row>
    <row r="17" spans="1:10" s="2" customFormat="1" ht="27" customHeight="1" thickBot="1">
      <c r="A17" s="30">
        <f>HYPERLINK("https://bluetooth.atlassian.net/browse/ES-24819",24819)</f>
        <v>24819</v>
      </c>
      <c r="B17" s="141" t="s">
        <v>154</v>
      </c>
      <c r="C17" s="142">
        <v>1</v>
      </c>
      <c r="D17" s="143" t="s">
        <v>162</v>
      </c>
      <c r="E17" s="81" t="s">
        <v>4</v>
      </c>
      <c r="F17" s="94" t="s">
        <v>1</v>
      </c>
      <c r="G17" s="92"/>
      <c r="H17" s="148"/>
      <c r="I17" s="145"/>
      <c r="J17" s="35"/>
    </row>
    <row r="18" spans="1:10" s="2" customFormat="1" ht="28.5" customHeight="1" thickBot="1">
      <c r="A18" s="29">
        <f>HYPERLINK("https://bluetooth.atlassian.net/browse/ES-23727",23727)</f>
        <v>23727</v>
      </c>
      <c r="B18" s="137" t="s">
        <v>154</v>
      </c>
      <c r="C18" s="138">
        <v>1</v>
      </c>
      <c r="D18" s="146" t="s">
        <v>107</v>
      </c>
      <c r="E18" s="86" t="s">
        <v>4</v>
      </c>
      <c r="F18" s="89" t="s">
        <v>1</v>
      </c>
      <c r="G18" s="55"/>
      <c r="H18" s="147"/>
      <c r="I18" s="140"/>
      <c r="J18" s="36"/>
    </row>
    <row r="19" spans="1:10" s="2" customFormat="1" ht="27" customHeight="1" thickBot="1">
      <c r="A19" s="30">
        <f>HYPERLINK("https://bluetooth.atlassian.net/browse/ES-23833",23833)</f>
        <v>23833</v>
      </c>
      <c r="B19" s="141" t="s">
        <v>154</v>
      </c>
      <c r="C19" s="142">
        <v>1</v>
      </c>
      <c r="D19" s="143" t="s">
        <v>163</v>
      </c>
      <c r="E19" s="81" t="s">
        <v>85</v>
      </c>
      <c r="F19" s="94" t="s">
        <v>1</v>
      </c>
      <c r="G19" s="92"/>
      <c r="H19" s="148"/>
      <c r="I19" s="145"/>
      <c r="J19" s="35"/>
    </row>
    <row r="25" spans="1:10" ht="15.75" customHeight="1">
      <c r="A25" s="41"/>
      <c r="B25" s="42"/>
      <c r="C25" s="42"/>
      <c r="D25" s="42"/>
      <c r="F25" s="42"/>
      <c r="G25" s="42"/>
      <c r="H25" s="42"/>
      <c r="I25" s="42"/>
    </row>
    <row r="26" spans="1:10" ht="15.75" customHeight="1">
      <c r="A26" s="41"/>
      <c r="B26" s="42"/>
      <c r="C26" s="42"/>
      <c r="D26" s="42"/>
      <c r="F26" s="42"/>
      <c r="G26" s="42"/>
      <c r="H26" s="42"/>
      <c r="I26" s="42"/>
    </row>
    <row r="27" spans="1:10" ht="15.75" customHeight="1">
      <c r="A27" s="41"/>
      <c r="B27" s="42"/>
      <c r="C27" s="42"/>
      <c r="D27" s="42"/>
      <c r="F27" s="42"/>
      <c r="G27" s="42"/>
      <c r="H27" s="42"/>
      <c r="I27" s="42"/>
    </row>
    <row r="28" spans="1:10" ht="15.75" customHeight="1">
      <c r="A28" s="41"/>
      <c r="B28" s="42"/>
      <c r="C28" s="42"/>
      <c r="D28" s="42"/>
      <c r="F28" s="42"/>
      <c r="G28" s="42"/>
      <c r="H28" s="42"/>
      <c r="I28" s="42"/>
    </row>
  </sheetData>
  <mergeCells count="7">
    <mergeCell ref="A7:B7"/>
    <mergeCell ref="A2:I2"/>
    <mergeCell ref="A3:I3"/>
    <mergeCell ref="D4:F4"/>
    <mergeCell ref="G4:I4"/>
    <mergeCell ref="D5:F5"/>
    <mergeCell ref="G5:I5"/>
  </mergeCells>
  <conditionalFormatting sqref="F10:F19">
    <cfRule type="cellIs" dxfId="6" priority="1" operator="greaterThan">
      <formula>"Yes"</formula>
    </cfRule>
  </conditionalFormatting>
  <dataValidations count="6">
    <dataValidation type="list" allowBlank="1" sqref="I10:I19" xr:uid="{F34A883A-4E14-403B-9D16-F0FA5FA62381}">
      <formula1>"Open,Approved,Rejected,Released"</formula1>
    </dataValidation>
    <dataValidation type="list" allowBlank="1" showInputMessage="1" showErrorMessage="1" sqref="G10:G19" xr:uid="{6E57D3EB-386A-411E-B3BC-EF4004973702}">
      <formula1>"1,2,3,4,Not Categorized"</formula1>
    </dataValidation>
    <dataValidation type="list" allowBlank="1" showInputMessage="1" showErrorMessage="1" sqref="E10:E19" xr:uid="{8DDE1823-D34D-4B92-97A9-82EF274E7BA7}">
      <formula1>"Editorial,1/Technical Low,2/Technical Medium,3/Technical High,4/Technical Critical,Not Categorized"</formula1>
    </dataValidation>
    <dataValidation type="list" allowBlank="1" sqref="F10:F19" xr:uid="{D8D4281E-43B8-4707-A823-5AD4563BB8B3}">
      <formula1>"No,Yes - doesn't need to wait for erratum,Yes - tied to spec change,Not Reviewed"</formula1>
    </dataValidation>
    <dataValidation type="list" allowBlank="1" sqref="F9:I9" xr:uid="{B6108759-4656-4DE7-B266-FAC5F15ECA72}">
      <formula1>#REF!</formula1>
    </dataValidation>
    <dataValidation allowBlank="1" sqref="H10:H19" xr:uid="{3EF91CF7-EBFF-4ED8-A666-131A8016ECB4}"/>
  </dataValidations>
  <hyperlinks>
    <hyperlink ref="A12" r:id="rId1" display="https://www.bluetooth.org/errata/errata_view.cfm?errata_id=894" xr:uid="{1BF7038E-855F-40FC-91B5-D0237F6EFA8B}"/>
    <hyperlink ref="A16" r:id="rId2" display="https://www.bluetooth.org/errata/errata_view.cfm?errata_id=894" xr:uid="{B00F4B45-61F9-4AF1-8D17-F8F5E95CC6CC}"/>
    <hyperlink ref="A18" r:id="rId3" display="https://www.bluetooth.org/errata/errata_view.cfm?errata_id=894" xr:uid="{7D42860A-954F-46A4-8FE7-BB9B854B51B9}"/>
  </hyperlinks>
  <pageMargins left="0.7" right="0.7" top="0.75" bottom="0.75" header="0.3" footer="0.3"/>
  <pageSetup paperSize="9" orientation="portrait" horizontalDpi="300" verticalDpi="300"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6BA4B-B52C-4753-96AE-4BFB33C94C00}">
  <sheetPr>
    <outlinePr summaryBelow="0" summaryRight="0"/>
  </sheetPr>
  <dimension ref="A1:J27"/>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28" t="s">
        <v>164</v>
      </c>
      <c r="B1" s="129"/>
      <c r="C1" s="129"/>
      <c r="D1" s="130"/>
      <c r="E1" s="130"/>
      <c r="F1" s="131"/>
      <c r="G1" s="131"/>
      <c r="H1" s="131"/>
      <c r="I1" s="131"/>
      <c r="J1" s="130"/>
    </row>
    <row r="2" spans="1:10" ht="66.75" customHeight="1" thickBot="1">
      <c r="A2" s="187" t="s">
        <v>207</v>
      </c>
      <c r="B2" s="188"/>
      <c r="C2" s="188"/>
      <c r="D2" s="188"/>
      <c r="E2" s="188"/>
      <c r="F2" s="188"/>
      <c r="G2" s="188"/>
      <c r="H2" s="188"/>
      <c r="I2" s="189"/>
      <c r="J2" s="130"/>
    </row>
    <row r="3" spans="1:10" ht="51.95" customHeight="1" thickBot="1">
      <c r="A3" s="187" t="s">
        <v>22</v>
      </c>
      <c r="B3" s="188"/>
      <c r="C3" s="188"/>
      <c r="D3" s="188"/>
      <c r="E3" s="188"/>
      <c r="F3" s="188"/>
      <c r="G3" s="188"/>
      <c r="H3" s="188"/>
      <c r="I3" s="189"/>
      <c r="J3" s="130"/>
    </row>
    <row r="4" spans="1:10" s="4" customFormat="1" ht="27.95" customHeight="1" thickBot="1">
      <c r="A4" s="132" t="s">
        <v>7</v>
      </c>
      <c r="B4" s="133" t="s">
        <v>5</v>
      </c>
      <c r="C4" s="132" t="s">
        <v>23</v>
      </c>
      <c r="D4" s="190" t="s">
        <v>8</v>
      </c>
      <c r="E4" s="191"/>
      <c r="F4" s="192"/>
      <c r="G4" s="190" t="s">
        <v>17</v>
      </c>
      <c r="H4" s="191"/>
      <c r="I4" s="192"/>
      <c r="J4" s="130"/>
    </row>
    <row r="5" spans="1:10" s="34" customFormat="1" ht="30.2" customHeight="1" thickBot="1">
      <c r="A5" s="52" t="s">
        <v>165</v>
      </c>
      <c r="B5" s="53">
        <v>45566</v>
      </c>
      <c r="C5" s="52" t="s">
        <v>9</v>
      </c>
      <c r="D5" s="202" t="s">
        <v>167</v>
      </c>
      <c r="E5" s="203"/>
      <c r="F5" s="204"/>
      <c r="G5" s="202" t="s">
        <v>16</v>
      </c>
      <c r="H5" s="203"/>
      <c r="I5" s="204"/>
      <c r="J5" s="130"/>
    </row>
    <row r="6" spans="1:10" s="4" customFormat="1" ht="15">
      <c r="A6" s="134"/>
      <c r="B6" s="134"/>
      <c r="C6" s="134"/>
      <c r="D6" s="134"/>
      <c r="E6" s="134"/>
      <c r="F6" s="134"/>
      <c r="G6" s="134"/>
      <c r="H6" s="134"/>
      <c r="I6" s="134"/>
      <c r="J6" s="130"/>
    </row>
    <row r="7" spans="1:10" ht="21" customHeight="1">
      <c r="A7" s="186" t="s">
        <v>6</v>
      </c>
      <c r="B7" s="186"/>
      <c r="C7" s="135"/>
      <c r="D7" s="130"/>
      <c r="E7" s="130"/>
      <c r="F7" s="131"/>
      <c r="G7" s="131"/>
      <c r="H7" s="131"/>
      <c r="I7" s="131"/>
      <c r="J7" s="130"/>
    </row>
    <row r="8" spans="1:10" ht="21" customHeight="1" thickBot="1">
      <c r="A8" s="129" t="s">
        <v>132</v>
      </c>
      <c r="B8" s="136"/>
      <c r="C8" s="135"/>
      <c r="D8" s="129"/>
      <c r="E8" s="130"/>
      <c r="F8" s="131"/>
      <c r="G8" s="131"/>
      <c r="H8" s="131"/>
      <c r="I8" s="131"/>
      <c r="J8" s="130"/>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HYPERLINK("https://bluetooth.atlassian.net/browse/ES-16716",16716)</f>
        <v>16716</v>
      </c>
      <c r="B10" s="137" t="s">
        <v>166</v>
      </c>
      <c r="C10" s="138">
        <v>1</v>
      </c>
      <c r="D10" s="55" t="s">
        <v>168</v>
      </c>
      <c r="E10" s="86" t="s">
        <v>80</v>
      </c>
      <c r="F10" s="37"/>
      <c r="G10" s="87"/>
      <c r="H10" s="139"/>
      <c r="I10" s="140"/>
      <c r="J10" s="36"/>
    </row>
    <row r="11" spans="1:10" s="2" customFormat="1" ht="39" thickBot="1">
      <c r="A11" s="30">
        <f>HYPERLINK("https://bluetooth.atlassian.net/browse/ES-18693",18693)</f>
        <v>18693</v>
      </c>
      <c r="B11" s="141" t="s">
        <v>166</v>
      </c>
      <c r="C11" s="142">
        <v>1</v>
      </c>
      <c r="D11" s="143" t="s">
        <v>169</v>
      </c>
      <c r="E11" s="81" t="s">
        <v>4</v>
      </c>
      <c r="F11" s="82" t="s">
        <v>79</v>
      </c>
      <c r="G11" s="82">
        <v>4</v>
      </c>
      <c r="H11" s="169">
        <f>HYPERLINK("https://bluetooth.atlassian.net/browse/ES-20395",20395)</f>
        <v>20395</v>
      </c>
      <c r="I11" s="82" t="s">
        <v>24</v>
      </c>
      <c r="J11" s="35" t="s">
        <v>196</v>
      </c>
    </row>
    <row r="12" spans="1:10" s="2" customFormat="1" ht="28.5" customHeight="1" thickBot="1">
      <c r="A12" s="29">
        <f>HYPERLINK("https://bluetooth.atlassian.net/browse/ES-18852",18852)</f>
        <v>18852</v>
      </c>
      <c r="B12" s="137" t="s">
        <v>166</v>
      </c>
      <c r="C12" s="138">
        <v>1</v>
      </c>
      <c r="D12" s="146" t="s">
        <v>123</v>
      </c>
      <c r="E12" s="86" t="s">
        <v>4</v>
      </c>
      <c r="F12" s="89" t="s">
        <v>1</v>
      </c>
      <c r="G12" s="55"/>
      <c r="H12" s="147"/>
      <c r="I12" s="140"/>
      <c r="J12" s="36"/>
    </row>
    <row r="13" spans="1:10" s="2" customFormat="1" ht="27" customHeight="1" thickBot="1">
      <c r="A13" s="30">
        <f>HYPERLINK("https://bluetooth.atlassian.net/browse/ES-18999",18999)</f>
        <v>18999</v>
      </c>
      <c r="B13" s="141" t="s">
        <v>166</v>
      </c>
      <c r="C13" s="142">
        <v>1</v>
      </c>
      <c r="D13" s="143" t="s">
        <v>170</v>
      </c>
      <c r="E13" s="81" t="s">
        <v>4</v>
      </c>
      <c r="F13" s="94" t="s">
        <v>1</v>
      </c>
      <c r="G13" s="92"/>
      <c r="H13" s="148"/>
      <c r="I13" s="145"/>
      <c r="J13" s="35"/>
    </row>
    <row r="14" spans="1:10" s="2" customFormat="1" ht="26.25" thickBot="1">
      <c r="A14" s="29">
        <f>HYPERLINK("https://bluetooth.atlassian.net/browse/ES-19000",19000)</f>
        <v>19000</v>
      </c>
      <c r="B14" s="137" t="s">
        <v>166</v>
      </c>
      <c r="C14" s="138">
        <v>1</v>
      </c>
      <c r="D14" s="55" t="s">
        <v>171</v>
      </c>
      <c r="E14" s="86" t="s">
        <v>4</v>
      </c>
      <c r="F14" s="37" t="s">
        <v>1</v>
      </c>
      <c r="G14" s="87"/>
      <c r="H14" s="139"/>
      <c r="I14" s="140"/>
      <c r="J14" s="36"/>
    </row>
    <row r="15" spans="1:10" s="2" customFormat="1" ht="27.95" customHeight="1" thickBot="1">
      <c r="A15" s="30">
        <f>HYPERLINK("https://bluetooth.atlassian.net/browse/ES-19003",19003)</f>
        <v>19003</v>
      </c>
      <c r="B15" s="141" t="s">
        <v>166</v>
      </c>
      <c r="C15" s="142">
        <v>1</v>
      </c>
      <c r="D15" s="143" t="s">
        <v>172</v>
      </c>
      <c r="E15" s="81" t="s">
        <v>85</v>
      </c>
      <c r="F15" s="82" t="s">
        <v>1</v>
      </c>
      <c r="G15" s="91"/>
      <c r="H15" s="144"/>
      <c r="I15" s="145"/>
      <c r="J15" s="35"/>
    </row>
    <row r="16" spans="1:10" s="2" customFormat="1" ht="28.5" customHeight="1" thickBot="1">
      <c r="A16" s="29">
        <f>HYPERLINK("https://bluetooth.atlassian.net/browse/ES-19004",19004)</f>
        <v>19004</v>
      </c>
      <c r="B16" s="137" t="s">
        <v>166</v>
      </c>
      <c r="C16" s="138">
        <v>1</v>
      </c>
      <c r="D16" s="146" t="s">
        <v>173</v>
      </c>
      <c r="E16" s="86" t="s">
        <v>4</v>
      </c>
      <c r="F16" s="89" t="s">
        <v>1</v>
      </c>
      <c r="G16" s="55"/>
      <c r="H16" s="147"/>
      <c r="I16" s="140"/>
      <c r="J16" s="36"/>
    </row>
    <row r="17" spans="1:10" s="2" customFormat="1" ht="27" customHeight="1" thickBot="1">
      <c r="A17" s="30">
        <f>HYPERLINK("https://bluetooth.atlassian.net/browse/ES-19071",19071)</f>
        <v>19071</v>
      </c>
      <c r="B17" s="141" t="s">
        <v>166</v>
      </c>
      <c r="C17" s="142">
        <v>1</v>
      </c>
      <c r="D17" s="143" t="s">
        <v>174</v>
      </c>
      <c r="E17" s="81" t="s">
        <v>4</v>
      </c>
      <c r="F17" s="94" t="s">
        <v>1</v>
      </c>
      <c r="G17" s="92"/>
      <c r="H17" s="148"/>
      <c r="I17" s="145"/>
      <c r="J17" s="35"/>
    </row>
    <row r="18" spans="1:10" s="2" customFormat="1" ht="26.25" thickBot="1">
      <c r="A18" s="29">
        <f>HYPERLINK("https://bluetooth.atlassian.net/browse/ES-19306",19306)</f>
        <v>19306</v>
      </c>
      <c r="B18" s="137" t="s">
        <v>166</v>
      </c>
      <c r="C18" s="138">
        <v>1</v>
      </c>
      <c r="D18" s="55" t="s">
        <v>97</v>
      </c>
      <c r="E18" s="86" t="s">
        <v>4</v>
      </c>
      <c r="F18" s="37" t="s">
        <v>1</v>
      </c>
      <c r="G18" s="87"/>
      <c r="H18" s="139"/>
      <c r="I18" s="140"/>
      <c r="J18" s="36"/>
    </row>
    <row r="19" spans="1:10" s="2" customFormat="1" ht="27.95" customHeight="1" thickBot="1">
      <c r="A19" s="30">
        <f>HYPERLINK("https://bluetooth.atlassian.net/browse/ES-22507",22507)</f>
        <v>22507</v>
      </c>
      <c r="B19" s="141" t="s">
        <v>166</v>
      </c>
      <c r="C19" s="142">
        <v>1</v>
      </c>
      <c r="D19" s="143" t="s">
        <v>175</v>
      </c>
      <c r="E19" s="81" t="s">
        <v>4</v>
      </c>
      <c r="F19" s="82" t="s">
        <v>1</v>
      </c>
      <c r="G19" s="91"/>
      <c r="H19" s="144"/>
      <c r="I19" s="145"/>
      <c r="J19" s="35"/>
    </row>
    <row r="20" spans="1:10" s="2" customFormat="1" ht="28.5" customHeight="1" thickBot="1">
      <c r="A20" s="29">
        <f>HYPERLINK("https://bluetooth.atlassian.net/browse/ES-23835",23835)</f>
        <v>23835</v>
      </c>
      <c r="B20" s="137" t="s">
        <v>166</v>
      </c>
      <c r="C20" s="138">
        <v>1</v>
      </c>
      <c r="D20" s="146" t="s">
        <v>107</v>
      </c>
      <c r="E20" s="86" t="s">
        <v>4</v>
      </c>
      <c r="F20" s="89" t="s">
        <v>1</v>
      </c>
      <c r="G20" s="55"/>
      <c r="H20" s="147"/>
      <c r="I20" s="140"/>
      <c r="J20" s="36"/>
    </row>
    <row r="24" spans="1:10" ht="15.75" customHeight="1">
      <c r="A24" s="41"/>
      <c r="B24" s="42"/>
      <c r="C24" s="42"/>
      <c r="D24" s="42"/>
      <c r="F24" s="42"/>
      <c r="G24" s="42"/>
      <c r="H24" s="42"/>
      <c r="I24" s="42"/>
    </row>
    <row r="25" spans="1:10" ht="15.75" customHeight="1">
      <c r="A25" s="41"/>
      <c r="B25" s="42"/>
      <c r="C25" s="42"/>
      <c r="D25" s="42"/>
      <c r="F25" s="42"/>
      <c r="G25" s="42"/>
      <c r="H25" s="42"/>
      <c r="I25" s="42"/>
    </row>
    <row r="26" spans="1:10" ht="15.75" customHeight="1">
      <c r="A26" s="41"/>
      <c r="B26" s="42"/>
      <c r="C26" s="42"/>
      <c r="D26" s="42"/>
      <c r="F26" s="42"/>
      <c r="G26" s="42"/>
      <c r="H26" s="42"/>
      <c r="I26" s="42"/>
    </row>
    <row r="27" spans="1:10" ht="15.75" customHeight="1">
      <c r="A27" s="41"/>
      <c r="B27" s="42"/>
      <c r="C27" s="42"/>
      <c r="D27" s="42"/>
      <c r="F27" s="42"/>
      <c r="G27" s="42"/>
      <c r="H27" s="42"/>
      <c r="I27" s="42"/>
    </row>
  </sheetData>
  <mergeCells count="7">
    <mergeCell ref="A7:B7"/>
    <mergeCell ref="A2:I2"/>
    <mergeCell ref="A3:I3"/>
    <mergeCell ref="D4:F4"/>
    <mergeCell ref="G4:I4"/>
    <mergeCell ref="D5:F5"/>
    <mergeCell ref="G5:I5"/>
  </mergeCells>
  <conditionalFormatting sqref="F10:F20">
    <cfRule type="cellIs" dxfId="5" priority="1" operator="greaterThan">
      <formula>"Yes"</formula>
    </cfRule>
  </conditionalFormatting>
  <dataValidations count="7">
    <dataValidation allowBlank="1" sqref="H10:H20" xr:uid="{21B4D479-941C-4DAF-BFBD-AA0707A21312}"/>
    <dataValidation type="list" allowBlank="1" sqref="I9" xr:uid="{A78B3486-3AB9-45E8-8547-F528B65A8B99}">
      <formula1>#REF!</formula1>
    </dataValidation>
    <dataValidation type="list" allowBlank="1" sqref="F9:H9" xr:uid="{B921BED5-CDCF-4029-B285-FA4BE179DF2A}">
      <formula1>#REF!</formula1>
    </dataValidation>
    <dataValidation type="list" allowBlank="1" sqref="F10:F20" xr:uid="{129B200D-0384-4AD3-9E9E-4CDBF53D9F33}">
      <formula1>"No,Yes - doesn't need to wait for erratum,Yes - tied to spec change,Not Reviewed"</formula1>
    </dataValidation>
    <dataValidation type="list" allowBlank="1" showInputMessage="1" showErrorMessage="1" sqref="E10:E20" xr:uid="{3254F775-6E3E-426C-8FCE-8631B4756CEA}">
      <formula1>"Editorial,1/Technical Low,2/Technical Medium,3/Technical High,4/Technical Critical,Not Categorized"</formula1>
    </dataValidation>
    <dataValidation type="list" allowBlank="1" showInputMessage="1" showErrorMessage="1" sqref="G10:G20" xr:uid="{788EE831-8583-48D6-9193-2543217A80A3}">
      <formula1>"1,2,3,4,Not Categorized"</formula1>
    </dataValidation>
    <dataValidation type="list" allowBlank="1" sqref="I10:I20" xr:uid="{36A2B4FE-D7F5-4291-A7C7-4862A492E18F}">
      <formula1>"Open,Approved,Rejected,Released"</formula1>
    </dataValidation>
  </dataValidations>
  <hyperlinks>
    <hyperlink ref="A12" r:id="rId1" display="https://www.bluetooth.org/errata/errata_view.cfm?errata_id=894" xr:uid="{7EE8E45C-D24B-467B-950A-AE1ADE961857}"/>
    <hyperlink ref="A16" r:id="rId2" display="https://www.bluetooth.org/errata/errata_view.cfm?errata_id=894" xr:uid="{1F6B9824-FC9A-4C1C-B791-54AE0C29AE4F}"/>
    <hyperlink ref="A20" r:id="rId3" display="https://www.bluetooth.org/errata/errata_view.cfm?errata_id=894" xr:uid="{9F6C2F1E-C023-4704-9626-D91FE9721A29}"/>
  </hyperlinks>
  <pageMargins left="0.7" right="0.7" top="0.75" bottom="0.75" header="0.3" footer="0.3"/>
  <pageSetup paperSize="9" orientation="portrait" horizontalDpi="300" verticalDpi="300"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J23"/>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85546875" customWidth="1"/>
  </cols>
  <sheetData>
    <row r="1" spans="1:10" ht="28.5" customHeight="1" thickBot="1">
      <c r="A1" s="19" t="s">
        <v>49</v>
      </c>
      <c r="B1" s="21"/>
      <c r="C1" s="21"/>
      <c r="D1" s="26"/>
      <c r="E1" s="26"/>
      <c r="F1" s="27"/>
      <c r="G1" s="27"/>
      <c r="H1" s="27"/>
      <c r="I1" s="27"/>
      <c r="J1" s="26"/>
    </row>
    <row r="2" spans="1:10" ht="66.75" customHeight="1" thickBot="1">
      <c r="A2" s="205" t="s">
        <v>21</v>
      </c>
      <c r="B2" s="206"/>
      <c r="C2" s="206"/>
      <c r="D2" s="206"/>
      <c r="E2" s="206"/>
      <c r="F2" s="206"/>
      <c r="G2" s="206"/>
      <c r="H2" s="206"/>
      <c r="I2" s="207"/>
      <c r="J2" s="26"/>
    </row>
    <row r="3" spans="1:10" ht="51.95" customHeight="1" thickBot="1">
      <c r="A3" s="205" t="s">
        <v>22</v>
      </c>
      <c r="B3" s="206"/>
      <c r="C3" s="206"/>
      <c r="D3" s="206"/>
      <c r="E3" s="206"/>
      <c r="F3" s="206"/>
      <c r="G3" s="206"/>
      <c r="H3" s="206"/>
      <c r="I3" s="207"/>
      <c r="J3" s="26"/>
    </row>
    <row r="4" spans="1:10" s="4" customFormat="1" ht="27" customHeight="1" thickBot="1">
      <c r="A4" s="50" t="s">
        <v>7</v>
      </c>
      <c r="B4" s="51" t="s">
        <v>5</v>
      </c>
      <c r="C4" s="50" t="s">
        <v>23</v>
      </c>
      <c r="D4" s="215" t="s">
        <v>8</v>
      </c>
      <c r="E4" s="216"/>
      <c r="F4" s="217"/>
      <c r="G4" s="215" t="s">
        <v>17</v>
      </c>
      <c r="H4" s="216"/>
      <c r="I4" s="217"/>
      <c r="J4" s="26"/>
    </row>
    <row r="5" spans="1:10" s="34" customFormat="1" ht="13.5" customHeight="1" thickBot="1">
      <c r="A5" s="52" t="s">
        <v>59</v>
      </c>
      <c r="B5" s="53">
        <v>44733</v>
      </c>
      <c r="C5" s="52" t="s">
        <v>9</v>
      </c>
      <c r="D5" s="202" t="s">
        <v>62</v>
      </c>
      <c r="E5" s="203"/>
      <c r="F5" s="204"/>
      <c r="G5" s="202" t="s">
        <v>16</v>
      </c>
      <c r="H5" s="203"/>
      <c r="I5" s="204"/>
      <c r="J5" s="130"/>
    </row>
    <row r="6" spans="1:10" s="34" customFormat="1" ht="13.5" customHeight="1" thickBot="1">
      <c r="A6" s="52" t="s">
        <v>119</v>
      </c>
      <c r="B6" s="53">
        <v>45566</v>
      </c>
      <c r="C6" s="52" t="s">
        <v>9</v>
      </c>
      <c r="D6" s="212" t="s">
        <v>120</v>
      </c>
      <c r="E6" s="213"/>
      <c r="F6" s="214"/>
      <c r="G6" s="212" t="s">
        <v>16</v>
      </c>
      <c r="H6" s="213"/>
      <c r="I6" s="214"/>
      <c r="J6" s="130"/>
    </row>
    <row r="7" spans="1:10" s="4" customFormat="1" ht="15">
      <c r="A7" s="134"/>
      <c r="B7" s="134"/>
      <c r="C7" s="134"/>
      <c r="D7" s="134"/>
      <c r="E7" s="134"/>
      <c r="F7" s="134"/>
      <c r="G7" s="134"/>
      <c r="H7" s="134"/>
      <c r="I7" s="134"/>
      <c r="J7" s="130"/>
    </row>
    <row r="8" spans="1:10" ht="21" customHeight="1">
      <c r="A8" s="186" t="s">
        <v>6</v>
      </c>
      <c r="B8" s="186"/>
      <c r="C8" s="135"/>
      <c r="D8" s="130"/>
      <c r="E8" s="130"/>
      <c r="F8" s="131"/>
      <c r="G8" s="131"/>
      <c r="H8" s="131"/>
      <c r="I8" s="131"/>
      <c r="J8" s="130"/>
    </row>
    <row r="9" spans="1:10" ht="21" customHeight="1" thickBot="1">
      <c r="A9" s="129" t="s">
        <v>132</v>
      </c>
      <c r="B9" s="136"/>
      <c r="C9" s="135"/>
      <c r="D9" s="129"/>
      <c r="E9" s="130"/>
      <c r="F9" s="131"/>
      <c r="G9" s="131"/>
      <c r="H9" s="131"/>
      <c r="I9" s="131"/>
      <c r="J9" s="130"/>
    </row>
    <row r="10" spans="1:10" s="2" customFormat="1" ht="28.7" customHeight="1" thickBot="1">
      <c r="A10" s="22" t="s">
        <v>18</v>
      </c>
      <c r="B10" s="22" t="s">
        <v>133</v>
      </c>
      <c r="C10" s="22" t="s">
        <v>77</v>
      </c>
      <c r="D10" s="23" t="s">
        <v>20</v>
      </c>
      <c r="E10" s="23" t="s">
        <v>134</v>
      </c>
      <c r="F10" s="24" t="s">
        <v>0</v>
      </c>
      <c r="G10" s="23" t="s">
        <v>135</v>
      </c>
      <c r="H10" s="24" t="s">
        <v>136</v>
      </c>
      <c r="I10" s="24" t="s">
        <v>3</v>
      </c>
      <c r="J10" s="23" t="s">
        <v>2</v>
      </c>
    </row>
    <row r="11" spans="1:10" s="2" customFormat="1" ht="29.1" customHeight="1" thickBot="1">
      <c r="A11" s="29">
        <f>HYPERLINK("https://bluetooth.atlassian.net/browse/ES-18614",18614)</f>
        <v>18614</v>
      </c>
      <c r="B11" s="103" t="s">
        <v>89</v>
      </c>
      <c r="C11" s="101">
        <v>1</v>
      </c>
      <c r="D11" s="55" t="s">
        <v>56</v>
      </c>
      <c r="E11" s="86" t="s">
        <v>80</v>
      </c>
      <c r="F11" s="89" t="s">
        <v>1</v>
      </c>
      <c r="G11" s="88"/>
      <c r="H11" s="29"/>
      <c r="I11" s="100"/>
      <c r="J11" s="36"/>
    </row>
    <row r="12" spans="1:10" s="2" customFormat="1" ht="26.25" thickBot="1">
      <c r="A12" s="38">
        <f>HYPERLINK("https://bluetooth.atlassian.net/browse/ES-18778",18778)</f>
        <v>18778</v>
      </c>
      <c r="B12" s="104" t="s">
        <v>89</v>
      </c>
      <c r="C12" s="102">
        <v>1</v>
      </c>
      <c r="D12" s="106" t="s">
        <v>57</v>
      </c>
      <c r="E12" s="81" t="s">
        <v>4</v>
      </c>
      <c r="F12" s="94" t="s">
        <v>1</v>
      </c>
      <c r="G12" s="95"/>
      <c r="H12" s="33"/>
      <c r="I12" s="99"/>
      <c r="J12" s="35"/>
    </row>
    <row r="13" spans="1:10" s="2" customFormat="1" ht="26.25" thickBot="1">
      <c r="A13" s="29">
        <f>HYPERLINK("https://bluetooth.atlassian.net/browse/ES-18779",18779)</f>
        <v>18779</v>
      </c>
      <c r="B13" s="105" t="s">
        <v>89</v>
      </c>
      <c r="C13" s="101">
        <v>1</v>
      </c>
      <c r="D13" s="107" t="s">
        <v>58</v>
      </c>
      <c r="E13" s="86" t="s">
        <v>4</v>
      </c>
      <c r="F13" s="89" t="s">
        <v>1</v>
      </c>
      <c r="G13" s="55"/>
      <c r="H13" s="147"/>
      <c r="I13" s="140"/>
      <c r="J13" s="36"/>
    </row>
    <row r="14" spans="1:10" ht="26.25" thickBot="1">
      <c r="A14" s="38">
        <f>HYPERLINK("https://bluetooth.atlassian.net/browse/ES-18854",18854)</f>
        <v>18854</v>
      </c>
      <c r="B14" s="104" t="s">
        <v>89</v>
      </c>
      <c r="C14" s="102" t="s">
        <v>115</v>
      </c>
      <c r="D14" s="164" t="s">
        <v>123</v>
      </c>
      <c r="E14" s="81" t="s">
        <v>4</v>
      </c>
      <c r="F14" s="94" t="s">
        <v>1</v>
      </c>
      <c r="G14" s="92"/>
      <c r="H14" s="144"/>
      <c r="I14" s="145"/>
      <c r="J14" s="35"/>
    </row>
    <row r="15" spans="1:10" ht="39" thickBot="1">
      <c r="A15" s="29">
        <f>HYPERLINK("https://bluetooth.atlassian.net/browse/ES-19094",19094)</f>
        <v>19094</v>
      </c>
      <c r="B15" s="170" t="s">
        <v>89</v>
      </c>
      <c r="C15" s="101" t="s">
        <v>121</v>
      </c>
      <c r="D15" s="170" t="s">
        <v>124</v>
      </c>
      <c r="E15" s="86" t="s">
        <v>4</v>
      </c>
      <c r="F15" s="89" t="s">
        <v>1</v>
      </c>
      <c r="G15" s="55"/>
      <c r="H15" s="147"/>
      <c r="I15" s="140"/>
      <c r="J15" s="36"/>
    </row>
    <row r="16" spans="1:10" ht="26.25" thickBot="1">
      <c r="A16" s="38">
        <f>HYPERLINK("https://bluetooth.atlassian.net/browse/ES-19104",19104)</f>
        <v>19104</v>
      </c>
      <c r="B16" s="164" t="s">
        <v>89</v>
      </c>
      <c r="C16" s="102" t="s">
        <v>122</v>
      </c>
      <c r="D16" s="164" t="s">
        <v>125</v>
      </c>
      <c r="E16" s="81" t="s">
        <v>4</v>
      </c>
      <c r="F16" s="94" t="s">
        <v>1</v>
      </c>
      <c r="G16" s="92"/>
      <c r="H16" s="144"/>
      <c r="I16" s="145"/>
      <c r="J16" s="35"/>
    </row>
    <row r="17" spans="1:10" ht="51.75" thickBot="1">
      <c r="A17" s="29">
        <f>HYPERLINK("https://bluetooth.atlassian.net/browse/ES-19232",19232)</f>
        <v>19232</v>
      </c>
      <c r="B17" s="170" t="s">
        <v>89</v>
      </c>
      <c r="C17" s="101" t="s">
        <v>115</v>
      </c>
      <c r="D17" s="170" t="s">
        <v>126</v>
      </c>
      <c r="E17" s="86" t="s">
        <v>85</v>
      </c>
      <c r="F17" s="89" t="s">
        <v>79</v>
      </c>
      <c r="G17" s="89">
        <v>2</v>
      </c>
      <c r="H17" s="147">
        <v>24715</v>
      </c>
      <c r="I17" s="89" t="s">
        <v>24</v>
      </c>
      <c r="J17" s="36" t="s">
        <v>197</v>
      </c>
    </row>
    <row r="18" spans="1:10" ht="26.25" thickBot="1">
      <c r="A18" s="38">
        <f>HYPERLINK("https://bluetooth.atlassian.net/browse/ES-19309",19309)</f>
        <v>19309</v>
      </c>
      <c r="B18" s="164" t="s">
        <v>89</v>
      </c>
      <c r="C18" s="102" t="s">
        <v>112</v>
      </c>
      <c r="D18" s="164" t="s">
        <v>127</v>
      </c>
      <c r="E18" s="81" t="s">
        <v>4</v>
      </c>
      <c r="F18" s="94" t="s">
        <v>1</v>
      </c>
      <c r="G18" s="92"/>
      <c r="H18" s="144"/>
      <c r="I18" s="145"/>
      <c r="J18" s="35"/>
    </row>
    <row r="19" spans="1:10" ht="26.25" thickBot="1">
      <c r="A19" s="29">
        <f>HYPERLINK("https://bluetooth.atlassian.net/browse/ES-22298",22298)</f>
        <v>22298</v>
      </c>
      <c r="B19" s="170" t="s">
        <v>89</v>
      </c>
      <c r="C19" s="101" t="s">
        <v>113</v>
      </c>
      <c r="D19" s="170" t="s">
        <v>128</v>
      </c>
      <c r="E19" s="86" t="s">
        <v>83</v>
      </c>
      <c r="F19" s="89" t="s">
        <v>1</v>
      </c>
      <c r="G19" s="55"/>
      <c r="H19" s="147"/>
      <c r="I19" s="140"/>
      <c r="J19" s="36"/>
    </row>
    <row r="20" spans="1:10" ht="26.25" thickBot="1">
      <c r="A20" s="38">
        <f>HYPERLINK("https://bluetooth.atlassian.net/browse/ES-22299",22299)</f>
        <v>22299</v>
      </c>
      <c r="B20" s="164" t="s">
        <v>89</v>
      </c>
      <c r="C20" s="102" t="s">
        <v>113</v>
      </c>
      <c r="D20" s="164" t="s">
        <v>129</v>
      </c>
      <c r="E20" s="81" t="s">
        <v>4</v>
      </c>
      <c r="F20" s="94" t="s">
        <v>1</v>
      </c>
      <c r="G20" s="92"/>
      <c r="H20" s="144"/>
      <c r="I20" s="145"/>
      <c r="J20" s="35"/>
    </row>
    <row r="21" spans="1:10" ht="39" thickBot="1">
      <c r="A21" s="29">
        <f>HYPERLINK("https://bluetooth.atlassian.net/browse/ES-22952",22952)</f>
        <v>22952</v>
      </c>
      <c r="B21" s="170" t="s">
        <v>89</v>
      </c>
      <c r="C21" s="101" t="s">
        <v>112</v>
      </c>
      <c r="D21" s="170" t="s">
        <v>130</v>
      </c>
      <c r="E21" s="86" t="s">
        <v>86</v>
      </c>
      <c r="F21" s="89" t="s">
        <v>79</v>
      </c>
      <c r="G21" s="89">
        <v>2</v>
      </c>
      <c r="H21" s="147">
        <v>23130</v>
      </c>
      <c r="I21" s="89" t="s">
        <v>24</v>
      </c>
      <c r="J21" s="36" t="s">
        <v>198</v>
      </c>
    </row>
    <row r="22" spans="1:10" ht="26.25" thickBot="1">
      <c r="A22" s="38">
        <f>HYPERLINK("https://bluetooth.atlassian.net/browse/ES-23862",23862)</f>
        <v>23862</v>
      </c>
      <c r="B22" s="104" t="s">
        <v>89</v>
      </c>
      <c r="C22" s="102" t="s">
        <v>112</v>
      </c>
      <c r="D22" s="164" t="s">
        <v>107</v>
      </c>
      <c r="E22" s="81" t="s">
        <v>4</v>
      </c>
      <c r="F22" s="94" t="s">
        <v>1</v>
      </c>
      <c r="G22" s="92"/>
      <c r="H22" s="144"/>
      <c r="I22" s="145"/>
      <c r="J22" s="35"/>
    </row>
    <row r="23" spans="1:10" ht="15.75" customHeight="1">
      <c r="A23" s="41"/>
      <c r="B23" s="40"/>
      <c r="C23" s="40"/>
      <c r="D23" s="40"/>
      <c r="E23" s="40"/>
    </row>
  </sheetData>
  <mergeCells count="9">
    <mergeCell ref="A2:I2"/>
    <mergeCell ref="A3:I3"/>
    <mergeCell ref="D6:F6"/>
    <mergeCell ref="G6:I6"/>
    <mergeCell ref="A8:B8"/>
    <mergeCell ref="D4:F4"/>
    <mergeCell ref="D5:F5"/>
    <mergeCell ref="G4:I4"/>
    <mergeCell ref="G5:I5"/>
  </mergeCells>
  <conditionalFormatting sqref="F11:F22">
    <cfRule type="cellIs" dxfId="4" priority="1" operator="greaterThan">
      <formula>"Yes"</formula>
    </cfRule>
  </conditionalFormatting>
  <dataValidations count="7">
    <dataValidation type="list" allowBlank="1" sqref="I10" xr:uid="{48403AC4-2DB1-4E3F-9F9B-F1F501C1BD7A}">
      <formula1>#REF!</formula1>
    </dataValidation>
    <dataValidation type="list" allowBlank="1" sqref="F10:H10" xr:uid="{5B573EEB-5173-4ACA-91B9-917981EAAB21}">
      <formula1>#REF!</formula1>
    </dataValidation>
    <dataValidation type="list" allowBlank="1" sqref="F11:F22" xr:uid="{8B0D0226-88E7-4E6D-A161-E71045BB7271}">
      <formula1>"No,Yes - doesn't need to wait for erratum,Yes - tied to spec change,Not Reviewed"</formula1>
    </dataValidation>
    <dataValidation type="list" allowBlank="1" showInputMessage="1" showErrorMessage="1" sqref="G11:G22" xr:uid="{1AC660B9-31E8-4832-93D0-8A0349CB52FB}">
      <formula1>"1,2,3,4,Not Categorized"</formula1>
    </dataValidation>
    <dataValidation allowBlank="1" sqref="H11:H22" xr:uid="{CC52DE96-A02D-4D07-AC6C-7252994FE76B}"/>
    <dataValidation type="list" allowBlank="1" sqref="I11:I22" xr:uid="{8BCBE0BD-F3E2-429C-94A1-C197CA5C2932}">
      <formula1>"Open,Approved,Rejected,Released"</formula1>
    </dataValidation>
    <dataValidation type="list" allowBlank="1" showInputMessage="1" showErrorMessage="1" sqref="E11:E22" xr:uid="{BF829533-2CA1-40A4-966D-AF04C756F6FD}">
      <formula1>"Editorial,1/Technical Low,2/Technical Medium,3/Technical High,4/Technical Critical,Not Categorized"</formula1>
    </dataValidation>
  </dataValidations>
  <hyperlinks>
    <hyperlink ref="H17" r:id="rId1" display="https://bluetooth.atlassian.net/browse/ES-24715" xr:uid="{200B66E8-28DF-49FB-A25F-30EF071739FB}"/>
    <hyperlink ref="H21" r:id="rId2" display="https://bluetooth.atlassian.net/browse/ES-23130" xr:uid="{F8F77808-9F7D-4E34-A014-68B3081FD2F0}"/>
    <hyperlink ref="A14" r:id="rId3" display="https://bluetooth.atlassian.net/browse/ES-18854" xr:uid="{95D7ED6E-B4A4-49E9-9395-936BCD293087}"/>
    <hyperlink ref="A15" r:id="rId4" display="https://bluetooth.atlassian.net/browse/ES-19094" xr:uid="{55DF9EA4-22D4-47D9-BCB3-30309D6C0833}"/>
    <hyperlink ref="A16" r:id="rId5" display="https://bluetooth.atlassian.net/browse/ES-19104" xr:uid="{727923BC-7EEE-45D6-A8B7-388D4E1FCCE7}"/>
    <hyperlink ref="A17" r:id="rId6" display="https://bluetooth.atlassian.net/browse/ES-19232" xr:uid="{C36BFFA8-DA30-4DC0-B016-1CDAEFE1702E}"/>
    <hyperlink ref="A18" r:id="rId7" display="https://bluetooth.atlassian.net/browse/ES-19309" xr:uid="{6546AB96-0D74-4785-891A-FB50E9B4C085}"/>
    <hyperlink ref="A19" r:id="rId8" display="https://bluetooth.atlassian.net/browse/ES-22298" xr:uid="{87A49B03-904D-4C57-AC74-3670A99B1206}"/>
    <hyperlink ref="A20" r:id="rId9" display="https://bluetooth.atlassian.net/browse/ES-22299" xr:uid="{BDFA9F57-2964-4FCA-B876-24C0C4B85CD0}"/>
    <hyperlink ref="A21" r:id="rId10" display="https://bluetooth.atlassian.net/browse/ES-22952" xr:uid="{D161FAE7-ECA6-400C-AE82-2E4A10B2D672}"/>
    <hyperlink ref="A22" r:id="rId11" display="https://bluetooth.atlassian.net/browse/ES-23862" xr:uid="{6454C6D3-52BC-4957-AD7B-16717AD62189}"/>
  </hyperlinks>
  <pageMargins left="0.7" right="0.7" top="0.75" bottom="0.75" header="0.3" footer="0.3"/>
  <pageSetup paperSize="9" orientation="portrait" horizontalDpi="300" verticalDpi="300" r:id="rId1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90EC5-C380-4904-A8D0-BD1FFC3C4B9A}">
  <sheetPr>
    <outlinePr summaryBelow="0" summaryRight="0"/>
  </sheetPr>
  <dimension ref="A1:J27"/>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28" t="s">
        <v>178</v>
      </c>
      <c r="B1" s="129"/>
      <c r="C1" s="129"/>
      <c r="D1" s="130"/>
      <c r="E1" s="130"/>
      <c r="F1" s="131"/>
      <c r="G1" s="131"/>
      <c r="H1" s="131"/>
      <c r="I1" s="131"/>
      <c r="J1" s="130"/>
    </row>
    <row r="2" spans="1:10" ht="66.75" customHeight="1" thickBot="1">
      <c r="A2" s="187" t="s">
        <v>207</v>
      </c>
      <c r="B2" s="188"/>
      <c r="C2" s="188"/>
      <c r="D2" s="188"/>
      <c r="E2" s="188"/>
      <c r="F2" s="188"/>
      <c r="G2" s="188"/>
      <c r="H2" s="188"/>
      <c r="I2" s="189"/>
      <c r="J2" s="130"/>
    </row>
    <row r="3" spans="1:10" ht="51.95" customHeight="1" thickBot="1">
      <c r="A3" s="187" t="s">
        <v>22</v>
      </c>
      <c r="B3" s="188"/>
      <c r="C3" s="188"/>
      <c r="D3" s="188"/>
      <c r="E3" s="188"/>
      <c r="F3" s="188"/>
      <c r="G3" s="188"/>
      <c r="H3" s="188"/>
      <c r="I3" s="189"/>
      <c r="J3" s="130"/>
    </row>
    <row r="4" spans="1:10" s="4" customFormat="1" ht="27.95" customHeight="1" thickBot="1">
      <c r="A4" s="132" t="s">
        <v>7</v>
      </c>
      <c r="B4" s="133" t="s">
        <v>5</v>
      </c>
      <c r="C4" s="132" t="s">
        <v>23</v>
      </c>
      <c r="D4" s="190" t="s">
        <v>8</v>
      </c>
      <c r="E4" s="191"/>
      <c r="F4" s="192"/>
      <c r="G4" s="190" t="s">
        <v>17</v>
      </c>
      <c r="H4" s="191"/>
      <c r="I4" s="192"/>
      <c r="J4" s="130"/>
    </row>
    <row r="5" spans="1:10" s="34" customFormat="1" ht="13.5" customHeight="1" thickBot="1">
      <c r="A5" s="52" t="s">
        <v>177</v>
      </c>
      <c r="B5" s="53">
        <v>45566</v>
      </c>
      <c r="C5" s="52" t="s">
        <v>9</v>
      </c>
      <c r="D5" s="199" t="s">
        <v>176</v>
      </c>
      <c r="E5" s="200"/>
      <c r="F5" s="201"/>
      <c r="G5" s="202" t="s">
        <v>16</v>
      </c>
      <c r="H5" s="203"/>
      <c r="I5" s="204"/>
      <c r="J5" s="130"/>
    </row>
    <row r="6" spans="1:10" s="4" customFormat="1" ht="15">
      <c r="A6" s="134"/>
      <c r="B6" s="134"/>
      <c r="C6" s="134"/>
      <c r="D6" s="134"/>
      <c r="E6" s="134"/>
      <c r="F6" s="134"/>
      <c r="G6" s="134"/>
      <c r="H6" s="134"/>
      <c r="I6" s="134"/>
      <c r="J6" s="130"/>
    </row>
    <row r="7" spans="1:10" ht="21" customHeight="1">
      <c r="A7" s="186" t="s">
        <v>6</v>
      </c>
      <c r="B7" s="186"/>
      <c r="C7" s="135"/>
      <c r="D7" s="130"/>
      <c r="E7" s="130"/>
      <c r="F7" s="131"/>
      <c r="G7" s="131"/>
      <c r="H7" s="131"/>
      <c r="I7" s="131"/>
      <c r="J7" s="130"/>
    </row>
    <row r="8" spans="1:10" ht="21" customHeight="1" thickBot="1">
      <c r="A8" s="129" t="s">
        <v>132</v>
      </c>
      <c r="B8" s="136"/>
      <c r="C8" s="135"/>
      <c r="D8" s="129"/>
      <c r="E8" s="130"/>
      <c r="F8" s="131"/>
      <c r="G8" s="131"/>
      <c r="H8" s="131"/>
      <c r="I8" s="131"/>
      <c r="J8" s="130"/>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39" thickBot="1">
      <c r="A10" s="29">
        <f>HYPERLINK("https://bluetooth.atlassian.net/browse/ES-23389",23389)</f>
        <v>23389</v>
      </c>
      <c r="B10" s="137" t="s">
        <v>179</v>
      </c>
      <c r="C10" s="138">
        <v>1</v>
      </c>
      <c r="D10" s="55" t="s">
        <v>180</v>
      </c>
      <c r="E10" s="86" t="s">
        <v>85</v>
      </c>
      <c r="F10" s="37" t="s">
        <v>1</v>
      </c>
      <c r="G10" s="87"/>
      <c r="H10" s="139"/>
      <c r="I10" s="140"/>
      <c r="J10" s="36"/>
    </row>
    <row r="11" spans="1:10" s="2" customFormat="1" ht="27.95" customHeight="1" thickBot="1">
      <c r="A11" s="30">
        <f>HYPERLINK("https://bluetooth.atlassian.net/browse/ES-23860",23860)</f>
        <v>23860</v>
      </c>
      <c r="B11" s="141" t="s">
        <v>179</v>
      </c>
      <c r="C11" s="142">
        <v>1</v>
      </c>
      <c r="D11" s="143" t="s">
        <v>107</v>
      </c>
      <c r="E11" s="81" t="s">
        <v>4</v>
      </c>
      <c r="F11" s="82" t="s">
        <v>1</v>
      </c>
      <c r="G11" s="91"/>
      <c r="H11" s="144"/>
      <c r="I11" s="145"/>
      <c r="J11" s="35"/>
    </row>
    <row r="12" spans="1:10" s="2" customFormat="1" ht="28.5" customHeight="1" thickBot="1">
      <c r="A12" s="29">
        <f>HYPERLINK("https://bluetooth.atlassian.net/browse/ES-24733",24733)</f>
        <v>24733</v>
      </c>
      <c r="B12" s="137" t="s">
        <v>179</v>
      </c>
      <c r="C12" s="138">
        <v>1</v>
      </c>
      <c r="D12" s="146" t="s">
        <v>181</v>
      </c>
      <c r="E12" s="86" t="s">
        <v>4</v>
      </c>
      <c r="F12" s="89" t="s">
        <v>82</v>
      </c>
      <c r="G12" s="140">
        <v>1</v>
      </c>
      <c r="H12" s="139">
        <f>HYPERLINK("https://bluetooth.atlassian.net/browse/ES-25246",25246)</f>
        <v>25246</v>
      </c>
      <c r="I12" s="140" t="s">
        <v>24</v>
      </c>
      <c r="J12" s="171" t="s">
        <v>195</v>
      </c>
    </row>
    <row r="24" spans="1:9" ht="15.75" customHeight="1">
      <c r="A24" s="41"/>
      <c r="B24" s="42"/>
      <c r="C24" s="42"/>
      <c r="D24" s="42"/>
      <c r="F24" s="42"/>
      <c r="G24" s="42"/>
      <c r="H24" s="42"/>
      <c r="I24" s="42"/>
    </row>
    <row r="25" spans="1:9" ht="15.75" customHeight="1">
      <c r="A25" s="41"/>
      <c r="B25" s="42"/>
      <c r="C25" s="42"/>
      <c r="D25" s="42"/>
      <c r="F25" s="42"/>
      <c r="G25" s="42"/>
      <c r="H25" s="42"/>
      <c r="I25" s="42"/>
    </row>
    <row r="26" spans="1:9" ht="15.75" customHeight="1">
      <c r="A26" s="41"/>
      <c r="B26" s="42"/>
      <c r="C26" s="42"/>
      <c r="D26" s="42"/>
      <c r="F26" s="42"/>
      <c r="G26" s="42"/>
      <c r="H26" s="42"/>
      <c r="I26" s="42"/>
    </row>
    <row r="27" spans="1:9" ht="15.75" customHeight="1">
      <c r="A27" s="41"/>
      <c r="B27" s="42"/>
      <c r="C27" s="42"/>
      <c r="D27" s="42"/>
      <c r="F27" s="42"/>
      <c r="G27" s="42"/>
      <c r="H27" s="42"/>
      <c r="I27" s="42"/>
    </row>
  </sheetData>
  <mergeCells count="7">
    <mergeCell ref="A7:B7"/>
    <mergeCell ref="A2:I2"/>
    <mergeCell ref="A3:I3"/>
    <mergeCell ref="D4:F4"/>
    <mergeCell ref="G4:I4"/>
    <mergeCell ref="D5:F5"/>
    <mergeCell ref="G5:I5"/>
  </mergeCells>
  <conditionalFormatting sqref="F10:F12">
    <cfRule type="cellIs" dxfId="3" priority="1" operator="greaterThan">
      <formula>"Yes"</formula>
    </cfRule>
  </conditionalFormatting>
  <dataValidations count="6">
    <dataValidation type="list" allowBlank="1" sqref="I10:I12" xr:uid="{6A28E97C-EAAD-4BD0-929E-04C44520327D}">
      <formula1>"Open,Approved,Rejected,Released"</formula1>
    </dataValidation>
    <dataValidation type="list" allowBlank="1" showInputMessage="1" showErrorMessage="1" sqref="G10:G12" xr:uid="{2D9AC9F4-16D6-494D-BE9C-F462F25719EA}">
      <formula1>"1,2,3,4,Not Categorized"</formula1>
    </dataValidation>
    <dataValidation type="list" allowBlank="1" showInputMessage="1" showErrorMessage="1" sqref="E10:E12" xr:uid="{2BAD0545-43B3-4F46-8BAE-E156E6960876}">
      <formula1>"Editorial,1/Technical Low,2/Technical Medium,3/Technical High,4/Technical Critical,Not Categorized"</formula1>
    </dataValidation>
    <dataValidation type="list" allowBlank="1" sqref="F10:F12" xr:uid="{408B1A1D-7A7A-4099-9CCA-EA9611610EE3}">
      <formula1>"No,Yes - doesn't need to wait for erratum,Yes - tied to spec change,Not Reviewed"</formula1>
    </dataValidation>
    <dataValidation type="list" allowBlank="1" sqref="F9:I9" xr:uid="{31A393D0-C676-4CA9-BB8A-DF59A340A933}">
      <formula1>#REF!</formula1>
    </dataValidation>
    <dataValidation allowBlank="1" sqref="H10:H12" xr:uid="{E98883DC-C4A7-4E48-95E0-8B6877CD5841}"/>
  </dataValidations>
  <hyperlinks>
    <hyperlink ref="A12" r:id="rId1" display="https://www.bluetooth.org/errata/errata_view.cfm?errata_id=894" xr:uid="{586B7C2F-1BB2-4E67-9ED4-7C25CCBB7773}"/>
  </hyperlinks>
  <pageMargins left="0.7" right="0.7" top="0.75" bottom="0.75" header="0.3" footer="0.3"/>
  <pageSetup paperSize="9" orientation="portrait" horizontalDpi="300" verticalDpi="300"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84150-CAF3-4BFD-A4B5-2AA1B0D924EF}">
  <sheetPr>
    <tabColor rgb="FFB1A0C7"/>
    <outlinePr summaryBelow="0" summaryRight="0"/>
  </sheetPr>
  <dimension ref="A1:J26"/>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16" t="s">
        <v>260</v>
      </c>
      <c r="B1" s="129"/>
      <c r="C1" s="129"/>
      <c r="D1" s="130"/>
      <c r="E1" s="130"/>
      <c r="F1" s="131"/>
      <c r="G1" s="131"/>
      <c r="H1" s="131"/>
      <c r="I1" s="131"/>
      <c r="J1" s="26"/>
    </row>
    <row r="2" spans="1:10" ht="66.75" customHeight="1" thickBot="1">
      <c r="A2" s="187" t="s">
        <v>207</v>
      </c>
      <c r="B2" s="188"/>
      <c r="C2" s="188"/>
      <c r="D2" s="188"/>
      <c r="E2" s="188"/>
      <c r="F2" s="188"/>
      <c r="G2" s="188"/>
      <c r="H2" s="188"/>
      <c r="I2" s="189"/>
      <c r="J2" s="26"/>
    </row>
    <row r="3" spans="1:10" ht="51.95" customHeight="1" thickBot="1">
      <c r="A3" s="187" t="s">
        <v>22</v>
      </c>
      <c r="B3" s="188"/>
      <c r="C3" s="188"/>
      <c r="D3" s="188"/>
      <c r="E3" s="188"/>
      <c r="F3" s="188"/>
      <c r="G3" s="188"/>
      <c r="H3" s="188"/>
      <c r="I3" s="189"/>
      <c r="J3" s="26"/>
    </row>
    <row r="4" spans="1:10" s="4" customFormat="1" ht="27.95" customHeight="1" thickBot="1">
      <c r="A4" s="132" t="s">
        <v>7</v>
      </c>
      <c r="B4" s="133" t="s">
        <v>5</v>
      </c>
      <c r="C4" s="132" t="s">
        <v>23</v>
      </c>
      <c r="D4" s="190" t="s">
        <v>8</v>
      </c>
      <c r="E4" s="191"/>
      <c r="F4" s="192"/>
      <c r="G4" s="190" t="s">
        <v>17</v>
      </c>
      <c r="H4" s="191"/>
      <c r="I4" s="192"/>
      <c r="J4" s="26"/>
    </row>
    <row r="5" spans="1:10" s="34" customFormat="1" ht="13.5" customHeight="1" thickBot="1">
      <c r="A5" s="76" t="s">
        <v>261</v>
      </c>
      <c r="B5" s="77">
        <v>45699</v>
      </c>
      <c r="C5" s="76" t="s">
        <v>9</v>
      </c>
      <c r="D5" s="193" t="s">
        <v>263</v>
      </c>
      <c r="E5" s="194"/>
      <c r="F5" s="195"/>
      <c r="G5" s="196" t="s">
        <v>16</v>
      </c>
      <c r="H5" s="197"/>
      <c r="I5" s="198"/>
      <c r="J5" s="26"/>
    </row>
    <row r="6" spans="1:10" s="4" customFormat="1" ht="15">
      <c r="A6" s="134"/>
      <c r="B6" s="134"/>
      <c r="C6" s="134"/>
      <c r="D6" s="134"/>
      <c r="E6" s="134"/>
      <c r="F6" s="134"/>
      <c r="G6" s="134"/>
      <c r="H6" s="134"/>
      <c r="I6" s="134"/>
      <c r="J6" s="26"/>
    </row>
    <row r="7" spans="1:10" ht="21" customHeight="1">
      <c r="A7" s="186" t="s">
        <v>6</v>
      </c>
      <c r="B7" s="186"/>
      <c r="C7" s="135"/>
      <c r="D7" s="130"/>
      <c r="E7" s="130"/>
      <c r="F7" s="131"/>
      <c r="G7" s="131"/>
      <c r="H7" s="131"/>
      <c r="I7" s="131"/>
      <c r="J7" s="26"/>
    </row>
    <row r="8" spans="1:10" ht="21" customHeight="1" thickBot="1">
      <c r="A8" s="129" t="s">
        <v>132</v>
      </c>
      <c r="B8" s="136"/>
      <c r="C8" s="135"/>
      <c r="D8" s="129"/>
      <c r="E8" s="130"/>
      <c r="F8" s="131"/>
      <c r="G8" s="131"/>
      <c r="H8" s="131"/>
      <c r="I8" s="131"/>
      <c r="J8" s="26"/>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HYPERLINK("https://bluetooth.atlassian.net/browse/ES-19311",19311)</f>
        <v>19311</v>
      </c>
      <c r="B10" s="119" t="s">
        <v>262</v>
      </c>
      <c r="C10" s="117">
        <v>1</v>
      </c>
      <c r="D10" s="110" t="s">
        <v>97</v>
      </c>
      <c r="E10" s="109" t="s">
        <v>4</v>
      </c>
      <c r="F10" s="80" t="s">
        <v>1</v>
      </c>
      <c r="G10" s="87"/>
      <c r="H10" s="139"/>
      <c r="I10" s="140"/>
      <c r="J10" s="36"/>
    </row>
    <row r="11" spans="1:10" s="2" customFormat="1" ht="27.95" customHeight="1" thickBot="1">
      <c r="A11" s="30">
        <f>HYPERLINK("https://bluetooth.atlassian.net/browse/ES-23873",23873)</f>
        <v>23873</v>
      </c>
      <c r="B11" s="120" t="s">
        <v>262</v>
      </c>
      <c r="C11" s="118">
        <v>1</v>
      </c>
      <c r="D11" s="111" t="s">
        <v>107</v>
      </c>
      <c r="E11" s="112" t="s">
        <v>4</v>
      </c>
      <c r="F11" s="98" t="s">
        <v>1</v>
      </c>
      <c r="G11" s="91"/>
      <c r="H11" s="144"/>
      <c r="I11" s="145"/>
      <c r="J11" s="35"/>
    </row>
    <row r="12" spans="1:10" s="2" customFormat="1" ht="28.5" customHeight="1" thickBot="1">
      <c r="A12" s="29">
        <f>HYPERLINK("https://bluetooth.atlassian.net/browse/ES-25919",25919)</f>
        <v>25919</v>
      </c>
      <c r="B12" s="119" t="s">
        <v>262</v>
      </c>
      <c r="C12" s="117">
        <v>1</v>
      </c>
      <c r="D12" s="108" t="s">
        <v>264</v>
      </c>
      <c r="E12" s="109" t="s">
        <v>85</v>
      </c>
      <c r="F12" s="114" t="s">
        <v>1</v>
      </c>
      <c r="G12" s="55"/>
      <c r="H12" s="147"/>
      <c r="I12" s="140"/>
      <c r="J12" s="36"/>
    </row>
    <row r="13" spans="1:10" s="2" customFormat="1" ht="77.25" thickBot="1">
      <c r="A13" s="30">
        <f>HYPERLINK("https://bluetooth.atlassian.net/browse/ES-25928",25928)</f>
        <v>25928</v>
      </c>
      <c r="B13" s="120" t="s">
        <v>262</v>
      </c>
      <c r="C13" s="118">
        <v>1</v>
      </c>
      <c r="D13" s="111" t="s">
        <v>265</v>
      </c>
      <c r="E13" s="112" t="s">
        <v>85</v>
      </c>
      <c r="F13" s="115" t="s">
        <v>82</v>
      </c>
      <c r="G13" s="175">
        <v>4</v>
      </c>
      <c r="H13" s="174">
        <f>HYPERLINK("https://bluetooth.atlassian.net/browse/ES-26508",26508)</f>
        <v>26508</v>
      </c>
      <c r="I13" s="98" t="s">
        <v>24</v>
      </c>
      <c r="J13" s="31" t="s">
        <v>266</v>
      </c>
    </row>
    <row r="16" spans="1:10" ht="15.75" customHeight="1">
      <c r="F16"/>
    </row>
    <row r="17" spans="1:9" ht="15.75" customHeight="1">
      <c r="F17"/>
    </row>
    <row r="18" spans="1:9" ht="15.75" customHeight="1">
      <c r="F18"/>
    </row>
    <row r="19" spans="1:9" ht="15.75" customHeight="1">
      <c r="F19"/>
    </row>
    <row r="20" spans="1:9" ht="15.75" customHeight="1">
      <c r="F20"/>
    </row>
    <row r="21" spans="1:9" ht="15.75" customHeight="1">
      <c r="F21"/>
    </row>
    <row r="23" spans="1:9" ht="15.75" customHeight="1">
      <c r="A23" s="41"/>
      <c r="B23" s="42"/>
      <c r="C23" s="42"/>
      <c r="D23" s="42"/>
      <c r="F23" s="42"/>
      <c r="G23" s="42"/>
      <c r="H23" s="42"/>
      <c r="I23" s="42"/>
    </row>
    <row r="24" spans="1:9" ht="15.75" customHeight="1">
      <c r="A24" s="41"/>
      <c r="B24" s="42"/>
      <c r="C24" s="42"/>
      <c r="D24" s="42"/>
      <c r="F24" s="42"/>
      <c r="G24" s="42"/>
      <c r="H24" s="42"/>
      <c r="I24" s="42"/>
    </row>
    <row r="25" spans="1:9" ht="15.75" customHeight="1">
      <c r="A25" s="41"/>
      <c r="B25" s="42"/>
      <c r="C25" s="42"/>
      <c r="D25" s="42"/>
      <c r="F25" s="42"/>
      <c r="G25" s="42"/>
      <c r="H25" s="42"/>
      <c r="I25" s="42"/>
    </row>
    <row r="26" spans="1:9" ht="15.75" customHeight="1">
      <c r="A26" s="41"/>
      <c r="B26" s="42"/>
      <c r="C26" s="42"/>
      <c r="D26" s="42"/>
      <c r="F26" s="42"/>
      <c r="G26" s="42"/>
      <c r="H26" s="42"/>
      <c r="I26" s="42"/>
    </row>
  </sheetData>
  <mergeCells count="7">
    <mergeCell ref="A7:B7"/>
    <mergeCell ref="A2:I2"/>
    <mergeCell ref="A3:I3"/>
    <mergeCell ref="D4:F4"/>
    <mergeCell ref="G4:I4"/>
    <mergeCell ref="D5:F5"/>
    <mergeCell ref="G5:I5"/>
  </mergeCells>
  <conditionalFormatting sqref="F10:F13">
    <cfRule type="cellIs" dxfId="2" priority="1" operator="greaterThan">
      <formula>"Yes"</formula>
    </cfRule>
  </conditionalFormatting>
  <dataValidations count="6">
    <dataValidation type="list" allowBlank="1" sqref="I10:I13" xr:uid="{189DD595-B1D7-4A97-9727-2594D5F964B7}">
      <formula1>"Open,Approved,Rejected,Released"</formula1>
    </dataValidation>
    <dataValidation type="list" allowBlank="1" showInputMessage="1" showErrorMessage="1" sqref="G10:G13" xr:uid="{FDFFDE56-A782-4428-8115-9B3CE6F2251B}">
      <formula1>"1,2,3,4,Not Categorized"</formula1>
    </dataValidation>
    <dataValidation type="list" allowBlank="1" showInputMessage="1" showErrorMessage="1" sqref="E10:E13" xr:uid="{F5BC6D39-7C6D-4BF8-8788-8504D9438568}">
      <formula1>"Editorial,1/Technical Low,2/Technical Medium,3/Technical High,4/Technical Critical,Not Categorized"</formula1>
    </dataValidation>
    <dataValidation type="list" allowBlank="1" sqref="F10:F13" xr:uid="{6FAEAEE5-156F-486C-B728-FCF3642336DC}">
      <formula1>"No,Yes - doesn't need to wait for erratum,Yes - tied to spec change,Not Reviewed"</formula1>
    </dataValidation>
    <dataValidation type="list" allowBlank="1" sqref="F9:I9" xr:uid="{CFC5360D-CFA3-41BE-9EA9-31C5DE1CAFEF}">
      <formula1>#REF!</formula1>
    </dataValidation>
    <dataValidation allowBlank="1" sqref="H10:H13" xr:uid="{F51F9C1B-A319-4115-AF47-25AF8CAF7BED}"/>
  </dataValidations>
  <hyperlinks>
    <hyperlink ref="A12" r:id="rId1" display="https://www.bluetooth.org/errata/errata_view.cfm?errata_id=894" xr:uid="{98E907DF-92E6-4A8E-861B-542A04979323}"/>
  </hyperlinks>
  <pageMargins left="0.7" right="0.7" top="0.75" bottom="0.75" header="0.3" footer="0.3"/>
  <pageSetup paperSize="9" orientation="portrait" horizontalDpi="300" verticalDpi="300"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0E65A-747E-4BE1-B7E6-4B6AAA8FD728}">
  <sheetPr>
    <outlinePr summaryBelow="0" summaryRight="0"/>
  </sheetPr>
  <dimension ref="A1:J27"/>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28" t="s">
        <v>182</v>
      </c>
      <c r="B1" s="129"/>
      <c r="C1" s="129"/>
      <c r="D1" s="130"/>
      <c r="E1" s="130"/>
      <c r="F1" s="131"/>
      <c r="G1" s="131"/>
      <c r="H1" s="131"/>
      <c r="I1" s="131"/>
      <c r="J1" s="130"/>
    </row>
    <row r="2" spans="1:10" ht="66.75" customHeight="1" thickBot="1">
      <c r="A2" s="187" t="s">
        <v>207</v>
      </c>
      <c r="B2" s="188"/>
      <c r="C2" s="188"/>
      <c r="D2" s="188"/>
      <c r="E2" s="188"/>
      <c r="F2" s="188"/>
      <c r="G2" s="188"/>
      <c r="H2" s="188"/>
      <c r="I2" s="189"/>
      <c r="J2" s="130"/>
    </row>
    <row r="3" spans="1:10" ht="51.95" customHeight="1" thickBot="1">
      <c r="A3" s="187" t="s">
        <v>22</v>
      </c>
      <c r="B3" s="188"/>
      <c r="C3" s="188"/>
      <c r="D3" s="188"/>
      <c r="E3" s="188"/>
      <c r="F3" s="188"/>
      <c r="G3" s="188"/>
      <c r="H3" s="188"/>
      <c r="I3" s="189"/>
      <c r="J3" s="130"/>
    </row>
    <row r="4" spans="1:10" s="4" customFormat="1" ht="27.95" customHeight="1" thickBot="1">
      <c r="A4" s="132" t="s">
        <v>7</v>
      </c>
      <c r="B4" s="133" t="s">
        <v>5</v>
      </c>
      <c r="C4" s="132" t="s">
        <v>23</v>
      </c>
      <c r="D4" s="190" t="s">
        <v>8</v>
      </c>
      <c r="E4" s="191"/>
      <c r="F4" s="192"/>
      <c r="G4" s="190" t="s">
        <v>17</v>
      </c>
      <c r="H4" s="191"/>
      <c r="I4" s="192"/>
      <c r="J4" s="130"/>
    </row>
    <row r="5" spans="1:10" s="34" customFormat="1" ht="13.5" customHeight="1" thickBot="1">
      <c r="A5" s="52" t="s">
        <v>183</v>
      </c>
      <c r="B5" s="53">
        <v>45566</v>
      </c>
      <c r="C5" s="52" t="s">
        <v>9</v>
      </c>
      <c r="D5" s="199" t="s">
        <v>184</v>
      </c>
      <c r="E5" s="200"/>
      <c r="F5" s="201"/>
      <c r="G5" s="202" t="s">
        <v>16</v>
      </c>
      <c r="H5" s="203"/>
      <c r="I5" s="204"/>
      <c r="J5" s="130"/>
    </row>
    <row r="6" spans="1:10" s="4" customFormat="1" ht="15">
      <c r="A6" s="134"/>
      <c r="B6" s="134"/>
      <c r="C6" s="134"/>
      <c r="D6" s="134"/>
      <c r="E6" s="134"/>
      <c r="F6" s="134"/>
      <c r="G6" s="134"/>
      <c r="H6" s="134"/>
      <c r="I6" s="134"/>
      <c r="J6" s="130"/>
    </row>
    <row r="7" spans="1:10" ht="21" customHeight="1">
      <c r="A7" s="186" t="s">
        <v>6</v>
      </c>
      <c r="B7" s="186"/>
      <c r="C7" s="135"/>
      <c r="D7" s="130"/>
      <c r="E7" s="130"/>
      <c r="F7" s="131"/>
      <c r="G7" s="131"/>
      <c r="H7" s="131"/>
      <c r="I7" s="131"/>
      <c r="J7" s="130"/>
    </row>
    <row r="8" spans="1:10" ht="21" customHeight="1" thickBot="1">
      <c r="A8" s="129" t="s">
        <v>132</v>
      </c>
      <c r="B8" s="136"/>
      <c r="C8" s="135"/>
      <c r="D8" s="129"/>
      <c r="E8" s="130"/>
      <c r="F8" s="131"/>
      <c r="G8" s="131"/>
      <c r="H8" s="131"/>
      <c r="I8" s="131"/>
      <c r="J8" s="130"/>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4.75" customHeight="1" thickBot="1">
      <c r="A10" s="29">
        <f>HYPERLINK("https://bluetooth.atlassian.net/browse/ES-19313",19313)</f>
        <v>19313</v>
      </c>
      <c r="B10" s="137" t="s">
        <v>185</v>
      </c>
      <c r="C10" s="138">
        <v>1</v>
      </c>
      <c r="D10" s="55" t="s">
        <v>186</v>
      </c>
      <c r="E10" s="86" t="s">
        <v>4</v>
      </c>
      <c r="F10" s="37" t="s">
        <v>1</v>
      </c>
      <c r="G10" s="87"/>
      <c r="H10" s="139"/>
      <c r="I10" s="140"/>
      <c r="J10" s="36"/>
    </row>
    <row r="11" spans="1:10" s="2" customFormat="1" ht="27.95" customHeight="1" thickBot="1">
      <c r="A11" s="30">
        <f>HYPERLINK("https://bluetooth.atlassian.net/browse/ES-23881",23881)</f>
        <v>23881</v>
      </c>
      <c r="B11" s="141" t="s">
        <v>185</v>
      </c>
      <c r="C11" s="142">
        <v>1</v>
      </c>
      <c r="D11" s="143" t="s">
        <v>107</v>
      </c>
      <c r="E11" s="81" t="s">
        <v>4</v>
      </c>
      <c r="F11" s="82" t="s">
        <v>1</v>
      </c>
      <c r="G11" s="91"/>
      <c r="H11" s="144"/>
      <c r="I11" s="145"/>
      <c r="J11" s="35"/>
    </row>
    <row r="12" spans="1:10" s="2" customFormat="1" ht="28.5" customHeight="1" thickBot="1">
      <c r="A12" s="29">
        <f>HYPERLINK("https://bluetooth.atlassian.net/browse/ES-24664",24664)</f>
        <v>24664</v>
      </c>
      <c r="B12" s="137" t="s">
        <v>185</v>
      </c>
      <c r="C12" s="138">
        <v>1</v>
      </c>
      <c r="D12" s="146" t="s">
        <v>187</v>
      </c>
      <c r="E12" s="86" t="s">
        <v>85</v>
      </c>
      <c r="F12" s="89" t="s">
        <v>1</v>
      </c>
      <c r="G12" s="55"/>
      <c r="H12" s="147"/>
      <c r="I12" s="140"/>
      <c r="J12" s="36"/>
    </row>
    <row r="24" spans="1:9" ht="15.75" customHeight="1">
      <c r="A24" s="41"/>
      <c r="B24" s="42"/>
      <c r="C24" s="42"/>
      <c r="D24" s="42"/>
      <c r="F24" s="42"/>
      <c r="G24" s="42"/>
      <c r="H24" s="42"/>
      <c r="I24" s="42"/>
    </row>
    <row r="25" spans="1:9" ht="15.75" customHeight="1">
      <c r="A25" s="41"/>
      <c r="B25" s="42"/>
      <c r="C25" s="42"/>
      <c r="D25" s="42"/>
      <c r="F25" s="42"/>
      <c r="G25" s="42"/>
      <c r="H25" s="42"/>
      <c r="I25" s="42"/>
    </row>
    <row r="26" spans="1:9" ht="15.75" customHeight="1">
      <c r="A26" s="41"/>
      <c r="B26" s="42"/>
      <c r="C26" s="42"/>
      <c r="D26" s="42"/>
      <c r="F26" s="42"/>
      <c r="G26" s="42"/>
      <c r="H26" s="42"/>
      <c r="I26" s="42"/>
    </row>
    <row r="27" spans="1:9" ht="15.75" customHeight="1">
      <c r="A27" s="41"/>
      <c r="B27" s="42"/>
      <c r="C27" s="42"/>
      <c r="D27" s="42"/>
      <c r="F27" s="42"/>
      <c r="G27" s="42"/>
      <c r="H27" s="42"/>
      <c r="I27" s="42"/>
    </row>
  </sheetData>
  <mergeCells count="7">
    <mergeCell ref="A7:B7"/>
    <mergeCell ref="A2:I2"/>
    <mergeCell ref="A3:I3"/>
    <mergeCell ref="D4:F4"/>
    <mergeCell ref="G4:I4"/>
    <mergeCell ref="D5:F5"/>
    <mergeCell ref="G5:I5"/>
  </mergeCells>
  <conditionalFormatting sqref="F10:F12">
    <cfRule type="cellIs" dxfId="1" priority="1" operator="greaterThan">
      <formula>"Yes"</formula>
    </cfRule>
  </conditionalFormatting>
  <dataValidations count="7">
    <dataValidation allowBlank="1" sqref="H10:H12" xr:uid="{4BC078E2-F837-4AE8-9163-D9BAF6F497CF}"/>
    <dataValidation type="list" allowBlank="1" sqref="I9" xr:uid="{9D75C820-01C1-404B-95D8-CD033C5CF204}">
      <formula1>#REF!</formula1>
    </dataValidation>
    <dataValidation type="list" allowBlank="1" sqref="F9:H9" xr:uid="{964432DD-FC31-446B-80A8-2AB9D466F803}">
      <formula1>#REF!</formula1>
    </dataValidation>
    <dataValidation type="list" allowBlank="1" sqref="F10:F12" xr:uid="{54CC3999-873B-48B6-9BEC-04D02375498E}">
      <formula1>"No,Yes - doesn't need to wait for erratum,Yes - tied to spec change,Not Reviewed"</formula1>
    </dataValidation>
    <dataValidation type="list" allowBlank="1" showInputMessage="1" showErrorMessage="1" sqref="E10:E12" xr:uid="{92F77274-33B0-4774-B398-A48F8715598B}">
      <formula1>"Editorial,1/Technical Low,2/Technical Medium,3/Technical High,4/Technical Critical,Not Categorized"</formula1>
    </dataValidation>
    <dataValidation type="list" allowBlank="1" showInputMessage="1" showErrorMessage="1" sqref="G10:G12" xr:uid="{0582FD3C-1C47-4878-9743-63743EE9080E}">
      <formula1>"1,2,3,4,Not Categorized"</formula1>
    </dataValidation>
    <dataValidation type="list" allowBlank="1" sqref="I10:I12" xr:uid="{5177C4D7-5572-4E82-8BFA-6B7CD53B1080}">
      <formula1>"Open,Approved,Rejected,Released"</formula1>
    </dataValidation>
  </dataValidations>
  <hyperlinks>
    <hyperlink ref="A12" r:id="rId1" display="https://www.bluetooth.org/errata/errata_view.cfm?errata_id=894" xr:uid="{FD77D7BF-C6BD-46E5-AD18-F8013ED6D166}"/>
  </hyperlinks>
  <pageMargins left="0.7" right="0.7" top="0.75" bottom="0.75" header="0.3" footer="0.3"/>
  <pageSetup paperSize="9" orientation="portrait" horizontalDpi="300" verticalDpi="300"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81616-31F4-46F1-A21B-F9BEE5694ED5}">
  <sheetPr>
    <outlinePr summaryBelow="0" summaryRight="0"/>
  </sheetPr>
  <dimension ref="A1:J27"/>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28" t="s">
        <v>188</v>
      </c>
      <c r="B1" s="129"/>
      <c r="C1" s="129"/>
      <c r="D1" s="130"/>
      <c r="E1" s="130"/>
      <c r="F1" s="131"/>
      <c r="G1" s="131"/>
      <c r="H1" s="131"/>
      <c r="I1" s="131"/>
      <c r="J1" s="130"/>
    </row>
    <row r="2" spans="1:10" ht="66.75" customHeight="1" thickBot="1">
      <c r="A2" s="187" t="s">
        <v>207</v>
      </c>
      <c r="B2" s="188"/>
      <c r="C2" s="188"/>
      <c r="D2" s="188"/>
      <c r="E2" s="188"/>
      <c r="F2" s="188"/>
      <c r="G2" s="188"/>
      <c r="H2" s="188"/>
      <c r="I2" s="189"/>
      <c r="J2" s="130"/>
    </row>
    <row r="3" spans="1:10" ht="51.95" customHeight="1" thickBot="1">
      <c r="A3" s="187" t="s">
        <v>22</v>
      </c>
      <c r="B3" s="188"/>
      <c r="C3" s="188"/>
      <c r="D3" s="188"/>
      <c r="E3" s="188"/>
      <c r="F3" s="188"/>
      <c r="G3" s="188"/>
      <c r="H3" s="188"/>
      <c r="I3" s="189"/>
      <c r="J3" s="130"/>
    </row>
    <row r="4" spans="1:10" s="4" customFormat="1" ht="27.95" customHeight="1" thickBot="1">
      <c r="A4" s="132" t="s">
        <v>7</v>
      </c>
      <c r="B4" s="133" t="s">
        <v>5</v>
      </c>
      <c r="C4" s="132" t="s">
        <v>23</v>
      </c>
      <c r="D4" s="190" t="s">
        <v>8</v>
      </c>
      <c r="E4" s="191"/>
      <c r="F4" s="192"/>
      <c r="G4" s="190" t="s">
        <v>17</v>
      </c>
      <c r="H4" s="191"/>
      <c r="I4" s="192"/>
      <c r="J4" s="130"/>
    </row>
    <row r="5" spans="1:10" s="34" customFormat="1" ht="13.5" customHeight="1" thickBot="1">
      <c r="A5" s="52" t="s">
        <v>189</v>
      </c>
      <c r="B5" s="53">
        <v>45566</v>
      </c>
      <c r="C5" s="52" t="s">
        <v>9</v>
      </c>
      <c r="D5" s="199" t="s">
        <v>190</v>
      </c>
      <c r="E5" s="200"/>
      <c r="F5" s="201"/>
      <c r="G5" s="202" t="s">
        <v>16</v>
      </c>
      <c r="H5" s="203"/>
      <c r="I5" s="204"/>
      <c r="J5" s="130"/>
    </row>
    <row r="6" spans="1:10" s="4" customFormat="1" ht="15">
      <c r="A6" s="134"/>
      <c r="B6" s="134"/>
      <c r="C6" s="134"/>
      <c r="D6" s="134"/>
      <c r="E6" s="134"/>
      <c r="F6" s="134"/>
      <c r="G6" s="134"/>
      <c r="H6" s="134"/>
      <c r="I6" s="134"/>
      <c r="J6" s="130"/>
    </row>
    <row r="7" spans="1:10" ht="21" customHeight="1">
      <c r="A7" s="186" t="s">
        <v>6</v>
      </c>
      <c r="B7" s="186"/>
      <c r="C7" s="135"/>
      <c r="D7" s="130"/>
      <c r="E7" s="130"/>
      <c r="F7" s="131"/>
      <c r="G7" s="131"/>
      <c r="H7" s="131"/>
      <c r="I7" s="131"/>
      <c r="J7" s="130"/>
    </row>
    <row r="8" spans="1:10" ht="21" customHeight="1" thickBot="1">
      <c r="A8" s="129" t="s">
        <v>132</v>
      </c>
      <c r="B8" s="136"/>
      <c r="C8" s="135"/>
      <c r="D8" s="129"/>
      <c r="E8" s="130"/>
      <c r="F8" s="131"/>
      <c r="G8" s="131"/>
      <c r="H8" s="131"/>
      <c r="I8" s="131"/>
      <c r="J8" s="130"/>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HYPERLINK("https://bluetooth.atlassian.net/browse/ES-16653",16653)</f>
        <v>16653</v>
      </c>
      <c r="B10" s="137" t="s">
        <v>191</v>
      </c>
      <c r="C10" s="138">
        <v>1</v>
      </c>
      <c r="D10" s="55" t="s">
        <v>192</v>
      </c>
      <c r="E10" s="86" t="s">
        <v>85</v>
      </c>
      <c r="F10" s="37" t="s">
        <v>1</v>
      </c>
      <c r="G10" s="87"/>
      <c r="H10" s="139"/>
      <c r="I10" s="140"/>
      <c r="J10" s="36"/>
    </row>
    <row r="11" spans="1:10" s="2" customFormat="1" ht="27.95" customHeight="1" thickBot="1">
      <c r="A11" s="30">
        <f>HYPERLINK("https://bluetooth.atlassian.net/browse/ES-19314",19314)</f>
        <v>19314</v>
      </c>
      <c r="B11" s="141" t="s">
        <v>191</v>
      </c>
      <c r="C11" s="142">
        <v>1</v>
      </c>
      <c r="D11" s="143" t="s">
        <v>193</v>
      </c>
      <c r="E11" s="81" t="s">
        <v>4</v>
      </c>
      <c r="F11" s="82" t="s">
        <v>1</v>
      </c>
      <c r="G11" s="91"/>
      <c r="H11" s="144"/>
      <c r="I11" s="145"/>
      <c r="J11" s="35"/>
    </row>
    <row r="12" spans="1:10" s="2" customFormat="1" ht="28.5" customHeight="1" thickBot="1">
      <c r="A12" s="29">
        <f>HYPERLINK("https://bluetooth.atlassian.net/browse/ES-23882",23882)</f>
        <v>23882</v>
      </c>
      <c r="B12" s="137" t="s">
        <v>191</v>
      </c>
      <c r="C12" s="138">
        <v>1</v>
      </c>
      <c r="D12" s="146" t="s">
        <v>107</v>
      </c>
      <c r="E12" s="86" t="s">
        <v>4</v>
      </c>
      <c r="F12" s="89" t="s">
        <v>1</v>
      </c>
      <c r="G12" s="55"/>
      <c r="H12" s="147"/>
      <c r="I12" s="140"/>
      <c r="J12" s="36"/>
    </row>
    <row r="24" spans="1:9" ht="15.75" customHeight="1">
      <c r="A24" s="41"/>
      <c r="B24" s="42"/>
      <c r="C24" s="42"/>
      <c r="D24" s="42"/>
      <c r="F24" s="42"/>
      <c r="G24" s="42"/>
      <c r="H24" s="42"/>
      <c r="I24" s="42"/>
    </row>
    <row r="25" spans="1:9" ht="15.75" customHeight="1">
      <c r="A25" s="41"/>
      <c r="B25" s="42"/>
      <c r="C25" s="42"/>
      <c r="D25" s="42"/>
      <c r="F25" s="42"/>
      <c r="G25" s="42"/>
      <c r="H25" s="42"/>
      <c r="I25" s="42"/>
    </row>
    <row r="26" spans="1:9" ht="15.75" customHeight="1">
      <c r="A26" s="41"/>
      <c r="B26" s="42"/>
      <c r="C26" s="42"/>
      <c r="D26" s="42"/>
      <c r="F26" s="42"/>
      <c r="G26" s="42"/>
      <c r="H26" s="42"/>
      <c r="I26" s="42"/>
    </row>
    <row r="27" spans="1:9" ht="15.75" customHeight="1">
      <c r="A27" s="41"/>
      <c r="B27" s="42"/>
      <c r="C27" s="42"/>
      <c r="D27" s="42"/>
      <c r="F27" s="42"/>
      <c r="G27" s="42"/>
      <c r="H27" s="42"/>
      <c r="I27" s="42"/>
    </row>
  </sheetData>
  <mergeCells count="7">
    <mergeCell ref="A7:B7"/>
    <mergeCell ref="A2:I2"/>
    <mergeCell ref="A3:I3"/>
    <mergeCell ref="D4:F4"/>
    <mergeCell ref="G4:I4"/>
    <mergeCell ref="D5:F5"/>
    <mergeCell ref="G5:I5"/>
  </mergeCells>
  <conditionalFormatting sqref="F10:F12">
    <cfRule type="cellIs" dxfId="0" priority="1" operator="greaterThan">
      <formula>"Yes"</formula>
    </cfRule>
  </conditionalFormatting>
  <dataValidations count="6">
    <dataValidation type="list" allowBlank="1" sqref="I10:I12" xr:uid="{D5CBE349-9256-4C02-8050-19D3661629A6}">
      <formula1>"Open,Approved,Rejected,Released"</formula1>
    </dataValidation>
    <dataValidation type="list" allowBlank="1" showInputMessage="1" showErrorMessage="1" sqref="G10:G12" xr:uid="{11069F6E-241D-4540-8BAD-749713A9E760}">
      <formula1>"1,2,3,4,Not Categorized"</formula1>
    </dataValidation>
    <dataValidation type="list" allowBlank="1" showInputMessage="1" showErrorMessage="1" sqref="E10:E12" xr:uid="{B602AFAD-C19D-44D9-9458-BEF28168160F}">
      <formula1>"Editorial,1/Technical Low,2/Technical Medium,3/Technical High,4/Technical Critical,Not Categorized"</formula1>
    </dataValidation>
    <dataValidation type="list" allowBlank="1" sqref="F10:F12" xr:uid="{0043B162-F744-4AF9-BA97-302CC344E8C6}">
      <formula1>"No,Yes - doesn't need to wait for erratum,Yes - tied to spec change,Not Reviewed"</formula1>
    </dataValidation>
    <dataValidation type="list" allowBlank="1" sqref="F9:I9" xr:uid="{F712F376-9D03-40CC-A59A-B6799DC8F054}">
      <formula1>#REF!</formula1>
    </dataValidation>
    <dataValidation allowBlank="1" sqref="H10:H12" xr:uid="{6799FD88-FAE9-4548-929B-A3FD6F7EE0A7}"/>
  </dataValidations>
  <hyperlinks>
    <hyperlink ref="A12" r:id="rId1" display="https://www.bluetooth.org/errata/errata_view.cfm?errata_id=894" xr:uid="{CFF93731-1B59-4118-B064-EABFE9E8BA17}"/>
  </hyperlinks>
  <pageMargins left="0.7" right="0.7" top="0.75" bottom="0.75" header="0.3" footer="0.3"/>
  <pageSetup paperSize="9"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25EC2-BB9E-44E1-BC00-0D856DD9762B}">
  <sheetPr>
    <tabColor rgb="FFB1A0C7"/>
    <outlinePr summaryBelow="0" summaryRight="0"/>
  </sheetPr>
  <dimension ref="A1:J27"/>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16" t="s">
        <v>208</v>
      </c>
      <c r="B1" s="129"/>
      <c r="C1" s="129"/>
      <c r="D1" s="130"/>
      <c r="E1" s="130"/>
      <c r="F1" s="131"/>
      <c r="G1" s="131"/>
      <c r="H1" s="131"/>
      <c r="I1" s="131"/>
      <c r="J1" s="26"/>
    </row>
    <row r="2" spans="1:10" ht="66.75" customHeight="1" thickBot="1">
      <c r="A2" s="187" t="s">
        <v>207</v>
      </c>
      <c r="B2" s="188"/>
      <c r="C2" s="188"/>
      <c r="D2" s="188"/>
      <c r="E2" s="188"/>
      <c r="F2" s="188"/>
      <c r="G2" s="188"/>
      <c r="H2" s="188"/>
      <c r="I2" s="189"/>
      <c r="J2" s="26"/>
    </row>
    <row r="3" spans="1:10" ht="51.95" customHeight="1" thickBot="1">
      <c r="A3" s="187" t="s">
        <v>22</v>
      </c>
      <c r="B3" s="188"/>
      <c r="C3" s="188"/>
      <c r="D3" s="188"/>
      <c r="E3" s="188"/>
      <c r="F3" s="188"/>
      <c r="G3" s="188"/>
      <c r="H3" s="188"/>
      <c r="I3" s="189"/>
      <c r="J3" s="26"/>
    </row>
    <row r="4" spans="1:10" s="4" customFormat="1" ht="27.95" customHeight="1" thickBot="1">
      <c r="A4" s="132" t="s">
        <v>7</v>
      </c>
      <c r="B4" s="133" t="s">
        <v>5</v>
      </c>
      <c r="C4" s="132" t="s">
        <v>23</v>
      </c>
      <c r="D4" s="190" t="s">
        <v>8</v>
      </c>
      <c r="E4" s="191"/>
      <c r="F4" s="192"/>
      <c r="G4" s="190" t="s">
        <v>17</v>
      </c>
      <c r="H4" s="191"/>
      <c r="I4" s="192"/>
      <c r="J4" s="26"/>
    </row>
    <row r="5" spans="1:10" s="34" customFormat="1" ht="13.5" customHeight="1" thickBot="1">
      <c r="A5" s="172" t="s">
        <v>209</v>
      </c>
      <c r="B5" s="173">
        <v>45699</v>
      </c>
      <c r="C5" s="172" t="s">
        <v>9</v>
      </c>
      <c r="D5" s="193" t="s">
        <v>210</v>
      </c>
      <c r="E5" s="194"/>
      <c r="F5" s="195"/>
      <c r="G5" s="196" t="s">
        <v>16</v>
      </c>
      <c r="H5" s="197"/>
      <c r="I5" s="198"/>
      <c r="J5" s="26"/>
    </row>
    <row r="6" spans="1:10" s="4" customFormat="1" ht="15">
      <c r="A6" s="134"/>
      <c r="B6" s="134"/>
      <c r="C6" s="134"/>
      <c r="D6" s="134"/>
      <c r="E6" s="134"/>
      <c r="F6" s="134"/>
      <c r="G6" s="134"/>
      <c r="H6" s="134"/>
      <c r="I6" s="134"/>
      <c r="J6" s="26"/>
    </row>
    <row r="7" spans="1:10" ht="21" customHeight="1">
      <c r="A7" s="186" t="s">
        <v>6</v>
      </c>
      <c r="B7" s="186"/>
      <c r="C7" s="135"/>
      <c r="D7" s="130"/>
      <c r="E7" s="130"/>
      <c r="F7" s="131"/>
      <c r="G7" s="131"/>
      <c r="H7" s="131"/>
      <c r="I7" s="131"/>
      <c r="J7" s="26"/>
    </row>
    <row r="8" spans="1:10" ht="21" customHeight="1" thickBot="1">
      <c r="A8" s="129" t="s">
        <v>132</v>
      </c>
      <c r="B8" s="136"/>
      <c r="C8" s="135"/>
      <c r="D8" s="129"/>
      <c r="E8" s="130"/>
      <c r="F8" s="131"/>
      <c r="G8" s="131"/>
      <c r="H8" s="131"/>
      <c r="I8" s="131"/>
      <c r="J8" s="26"/>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HYPERLINK("https://bluetooth.atlassian.net/browse/ES-16466",16466)</f>
        <v>16466</v>
      </c>
      <c r="B10" s="119" t="s">
        <v>211</v>
      </c>
      <c r="C10" s="117">
        <v>1</v>
      </c>
      <c r="D10" s="110" t="s">
        <v>213</v>
      </c>
      <c r="E10" s="109" t="s">
        <v>85</v>
      </c>
      <c r="F10" s="80" t="s">
        <v>1</v>
      </c>
      <c r="G10" s="87"/>
      <c r="H10" s="139"/>
      <c r="I10" s="140"/>
      <c r="J10" s="36"/>
    </row>
    <row r="11" spans="1:10" s="2" customFormat="1" ht="27.95" customHeight="1" thickBot="1">
      <c r="A11" s="30">
        <f>HYPERLINK("https://bluetooth.atlassian.net/browse/ES-19294",19294)</f>
        <v>19294</v>
      </c>
      <c r="B11" s="120" t="s">
        <v>211</v>
      </c>
      <c r="C11" s="118">
        <v>1</v>
      </c>
      <c r="D11" s="111" t="s">
        <v>214</v>
      </c>
      <c r="E11" s="112" t="s">
        <v>4</v>
      </c>
      <c r="F11" s="98" t="s">
        <v>1</v>
      </c>
      <c r="G11" s="91"/>
      <c r="H11" s="144"/>
      <c r="I11" s="145"/>
      <c r="J11" s="35"/>
    </row>
    <row r="12" spans="1:10" s="2" customFormat="1" ht="28.5" customHeight="1" thickBot="1">
      <c r="A12" s="29">
        <f>HYPERLINK("https://bluetooth.atlassian.net/browse/ES-23754",23754)</f>
        <v>23754</v>
      </c>
      <c r="B12" s="119" t="s">
        <v>211</v>
      </c>
      <c r="C12" s="117">
        <v>1</v>
      </c>
      <c r="D12" s="108" t="s">
        <v>107</v>
      </c>
      <c r="E12" s="109" t="s">
        <v>4</v>
      </c>
      <c r="F12" s="114" t="s">
        <v>1</v>
      </c>
      <c r="G12" s="55"/>
      <c r="H12" s="147"/>
      <c r="I12" s="140"/>
      <c r="J12" s="36"/>
    </row>
    <row r="13" spans="1:10" s="2" customFormat="1" ht="39" thickBot="1">
      <c r="A13" s="30">
        <f>HYPERLINK("https://bluetooth.atlassian.net/browse/ES-26031",26031)</f>
        <v>26031</v>
      </c>
      <c r="B13" s="120" t="s">
        <v>211</v>
      </c>
      <c r="C13" s="118">
        <v>1</v>
      </c>
      <c r="D13" s="111" t="s">
        <v>215</v>
      </c>
      <c r="E13" s="112" t="s">
        <v>85</v>
      </c>
      <c r="F13" s="115" t="s">
        <v>79</v>
      </c>
      <c r="G13" s="175">
        <v>2</v>
      </c>
      <c r="H13" s="174">
        <f>HYPERLINK("https://bluetooth.atlassian.net/browse/ES-25929",25929)</f>
        <v>25929</v>
      </c>
      <c r="I13" s="98" t="s">
        <v>24</v>
      </c>
      <c r="J13" s="31" t="s">
        <v>217</v>
      </c>
    </row>
    <row r="14" spans="1:10" s="2" customFormat="1" ht="38.25" customHeight="1" thickBot="1">
      <c r="A14" s="29">
        <f>HYPERLINK("https://bluetooth.atlassian.net/browse/ES-26032",26032)</f>
        <v>26032</v>
      </c>
      <c r="B14" s="119" t="s">
        <v>211</v>
      </c>
      <c r="C14" s="117">
        <v>1</v>
      </c>
      <c r="D14" s="108" t="s">
        <v>212</v>
      </c>
      <c r="E14" s="109" t="s">
        <v>85</v>
      </c>
      <c r="F14" s="114" t="s">
        <v>79</v>
      </c>
      <c r="G14" s="110">
        <v>4</v>
      </c>
      <c r="H14" s="122">
        <f>HYPERLINK("https://bluetooth.atlassian.net/browse/ES-25983",25983)</f>
        <v>25983</v>
      </c>
      <c r="I14" s="114" t="s">
        <v>24</v>
      </c>
      <c r="J14" s="32" t="s">
        <v>216</v>
      </c>
    </row>
    <row r="17" spans="1:9" ht="15.75" customHeight="1">
      <c r="F17"/>
    </row>
    <row r="18" spans="1:9" ht="15.75" customHeight="1">
      <c r="F18"/>
    </row>
    <row r="19" spans="1:9" ht="15.75" customHeight="1">
      <c r="F19"/>
    </row>
    <row r="20" spans="1:9" ht="15.75" customHeight="1">
      <c r="F20"/>
    </row>
    <row r="21" spans="1:9" ht="15.75" customHeight="1">
      <c r="F21"/>
    </row>
    <row r="22" spans="1:9" ht="15.75" customHeight="1">
      <c r="F22"/>
    </row>
    <row r="24" spans="1:9" ht="15.75" customHeight="1">
      <c r="A24" s="41"/>
      <c r="B24" s="42"/>
      <c r="C24" s="42"/>
      <c r="D24" s="42"/>
      <c r="F24" s="42"/>
      <c r="G24" s="42"/>
      <c r="H24" s="42"/>
      <c r="I24" s="42"/>
    </row>
    <row r="25" spans="1:9" ht="15.75" customHeight="1">
      <c r="A25" s="41"/>
      <c r="B25" s="42"/>
      <c r="C25" s="42"/>
      <c r="D25" s="42"/>
      <c r="F25" s="42"/>
      <c r="G25" s="42"/>
      <c r="H25" s="42"/>
      <c r="I25" s="42"/>
    </row>
    <row r="26" spans="1:9" ht="15.75" customHeight="1">
      <c r="A26" s="41"/>
      <c r="B26" s="42"/>
      <c r="C26" s="42"/>
      <c r="D26" s="42"/>
      <c r="F26" s="42"/>
      <c r="G26" s="42"/>
      <c r="H26" s="42"/>
      <c r="I26" s="42"/>
    </row>
    <row r="27" spans="1:9" ht="15.75" customHeight="1">
      <c r="A27" s="41"/>
      <c r="B27" s="42"/>
      <c r="C27" s="42"/>
      <c r="D27" s="42"/>
      <c r="F27" s="42"/>
      <c r="G27" s="42"/>
      <c r="H27" s="42"/>
      <c r="I27" s="42"/>
    </row>
  </sheetData>
  <mergeCells count="7">
    <mergeCell ref="A7:B7"/>
    <mergeCell ref="A2:I2"/>
    <mergeCell ref="A3:I3"/>
    <mergeCell ref="D4:F4"/>
    <mergeCell ref="G4:I4"/>
    <mergeCell ref="D5:F5"/>
    <mergeCell ref="G5:I5"/>
  </mergeCells>
  <conditionalFormatting sqref="F10:F14">
    <cfRule type="cellIs" dxfId="15" priority="1" operator="greaterThan">
      <formula>"Yes"</formula>
    </cfRule>
  </conditionalFormatting>
  <dataValidations count="6">
    <dataValidation allowBlank="1" sqref="H10:H14" xr:uid="{956320FF-A430-4789-8AF6-96544D7392C2}"/>
    <dataValidation type="list" allowBlank="1" sqref="F9:I9" xr:uid="{87C3AAA4-830B-4908-85B3-684F262BFDA6}">
      <formula1>#REF!</formula1>
    </dataValidation>
    <dataValidation type="list" allowBlank="1" sqref="F10:F14" xr:uid="{72A945D7-546A-4747-B985-F5C2B91A7A3E}">
      <formula1>"No,Yes - doesn't need to wait for erratum,Yes - tied to spec change,Not Reviewed"</formula1>
    </dataValidation>
    <dataValidation type="list" allowBlank="1" showInputMessage="1" showErrorMessage="1" sqref="E10:E14" xr:uid="{E0D55913-75FA-43C3-B21D-9929442FEFF0}">
      <formula1>"Editorial,1/Technical Low,2/Technical Medium,3/Technical High,4/Technical Critical,Not Categorized"</formula1>
    </dataValidation>
    <dataValidation type="list" allowBlank="1" showInputMessage="1" showErrorMessage="1" sqref="G10:G14" xr:uid="{0148589D-BE62-4257-A230-12FE2F266F1B}">
      <formula1>"1,2,3,4,Not Categorized"</formula1>
    </dataValidation>
    <dataValidation type="list" allowBlank="1" sqref="I10:I14" xr:uid="{AA3421C1-1786-40FB-AC09-DD3BEBAD337A}">
      <formula1>"Open,Approved,Rejected,Released"</formula1>
    </dataValidation>
  </dataValidations>
  <hyperlinks>
    <hyperlink ref="A12" r:id="rId1" display="https://www.bluetooth.org/errata/errata_view.cfm?errata_id=894" xr:uid="{D0E1E5CB-9220-44A3-9E27-CC5470CDAF77}"/>
    <hyperlink ref="A14" r:id="rId2" display="https://www.bluetooth.org/errata/errata_view.cfm?errata_id=894" xr:uid="{0067D3A6-58DF-4635-92DE-2F6F588E23EC}"/>
  </hyperlinks>
  <pageMargins left="0.7" right="0.7" top="0.75" bottom="0.75" header="0.3" footer="0.3"/>
  <pageSetup paperSize="9" orientation="portrait" horizontalDpi="300" verticalDpi="3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3A687-7205-4678-86C5-54F001AFA814}">
  <sheetPr>
    <outlinePr summaryBelow="0" summaryRight="0"/>
  </sheetPr>
  <dimension ref="A1:J28"/>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28" t="s">
        <v>131</v>
      </c>
      <c r="B1" s="129"/>
      <c r="C1" s="129"/>
      <c r="D1" s="130"/>
      <c r="E1" s="130"/>
      <c r="F1" s="131"/>
      <c r="G1" s="131"/>
      <c r="H1" s="131"/>
      <c r="I1" s="131"/>
      <c r="J1" s="26"/>
    </row>
    <row r="2" spans="1:10" ht="66.75" customHeight="1" thickBot="1">
      <c r="A2" s="187" t="s">
        <v>207</v>
      </c>
      <c r="B2" s="188"/>
      <c r="C2" s="188"/>
      <c r="D2" s="188"/>
      <c r="E2" s="188"/>
      <c r="F2" s="188"/>
      <c r="G2" s="188"/>
      <c r="H2" s="188"/>
      <c r="I2" s="189"/>
      <c r="J2" s="26"/>
    </row>
    <row r="3" spans="1:10" ht="51.95" customHeight="1" thickBot="1">
      <c r="A3" s="187" t="s">
        <v>22</v>
      </c>
      <c r="B3" s="188"/>
      <c r="C3" s="188"/>
      <c r="D3" s="188"/>
      <c r="E3" s="188"/>
      <c r="F3" s="188"/>
      <c r="G3" s="188"/>
      <c r="H3" s="188"/>
      <c r="I3" s="189"/>
      <c r="J3" s="26"/>
    </row>
    <row r="4" spans="1:10" s="4" customFormat="1" ht="27.95" customHeight="1" thickBot="1">
      <c r="A4" s="132" t="s">
        <v>7</v>
      </c>
      <c r="B4" s="133" t="s">
        <v>5</v>
      </c>
      <c r="C4" s="132" t="s">
        <v>23</v>
      </c>
      <c r="D4" s="190" t="s">
        <v>8</v>
      </c>
      <c r="E4" s="191"/>
      <c r="F4" s="192"/>
      <c r="G4" s="190" t="s">
        <v>17</v>
      </c>
      <c r="H4" s="191"/>
      <c r="I4" s="192"/>
      <c r="J4" s="26"/>
    </row>
    <row r="5" spans="1:10" s="34" customFormat="1" ht="13.5" customHeight="1" thickBot="1">
      <c r="A5" s="52" t="s">
        <v>137</v>
      </c>
      <c r="B5" s="53">
        <v>45566</v>
      </c>
      <c r="C5" s="52" t="s">
        <v>9</v>
      </c>
      <c r="D5" s="199" t="s">
        <v>138</v>
      </c>
      <c r="E5" s="200"/>
      <c r="F5" s="201"/>
      <c r="G5" s="202" t="s">
        <v>16</v>
      </c>
      <c r="H5" s="203"/>
      <c r="I5" s="204"/>
      <c r="J5" s="26"/>
    </row>
    <row r="6" spans="1:10" s="4" customFormat="1" ht="15">
      <c r="A6" s="134"/>
      <c r="B6" s="134"/>
      <c r="C6" s="134"/>
      <c r="D6" s="134"/>
      <c r="E6" s="134"/>
      <c r="F6" s="134"/>
      <c r="G6" s="134"/>
      <c r="H6" s="134"/>
      <c r="I6" s="134"/>
      <c r="J6" s="26"/>
    </row>
    <row r="7" spans="1:10" ht="21" customHeight="1">
      <c r="A7" s="186" t="s">
        <v>6</v>
      </c>
      <c r="B7" s="186"/>
      <c r="C7" s="135"/>
      <c r="D7" s="130"/>
      <c r="E7" s="130"/>
      <c r="F7" s="131"/>
      <c r="G7" s="131"/>
      <c r="H7" s="131"/>
      <c r="I7" s="131"/>
      <c r="J7" s="26"/>
    </row>
    <row r="8" spans="1:10" ht="21" customHeight="1" thickBot="1">
      <c r="A8" s="129" t="s">
        <v>132</v>
      </c>
      <c r="B8" s="136"/>
      <c r="C8" s="135"/>
      <c r="D8" s="129"/>
      <c r="E8" s="130"/>
      <c r="F8" s="131"/>
      <c r="G8" s="131"/>
      <c r="H8" s="131"/>
      <c r="I8" s="131"/>
      <c r="J8" s="26"/>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HYPERLINK("https://bluetooth.atlassian.net/browse/ES-18689",18689)</f>
        <v>18689</v>
      </c>
      <c r="B10" s="137" t="s">
        <v>139</v>
      </c>
      <c r="C10" s="138">
        <v>1</v>
      </c>
      <c r="D10" s="55" t="s">
        <v>140</v>
      </c>
      <c r="E10" s="86" t="s">
        <v>4</v>
      </c>
      <c r="F10" s="37" t="s">
        <v>1</v>
      </c>
      <c r="G10" s="87"/>
      <c r="H10" s="139"/>
      <c r="I10" s="140"/>
      <c r="J10" s="36"/>
    </row>
    <row r="11" spans="1:10" s="2" customFormat="1" ht="27.95" customHeight="1" thickBot="1">
      <c r="A11" s="30">
        <f>HYPERLINK("https://bluetooth.atlassian.net/browse/ES-18874",18874)</f>
        <v>18874</v>
      </c>
      <c r="B11" s="141" t="s">
        <v>139</v>
      </c>
      <c r="C11" s="142">
        <v>1</v>
      </c>
      <c r="D11" s="143" t="s">
        <v>141</v>
      </c>
      <c r="E11" s="81" t="s">
        <v>4</v>
      </c>
      <c r="F11" s="82" t="s">
        <v>1</v>
      </c>
      <c r="G11" s="91"/>
      <c r="H11" s="144"/>
      <c r="I11" s="145"/>
      <c r="J11" s="35"/>
    </row>
    <row r="12" spans="1:10" s="2" customFormat="1" ht="28.5" customHeight="1" thickBot="1">
      <c r="A12" s="29">
        <f>HYPERLINK("https://bluetooth.atlassian.net/browse/ES-22139",22139)</f>
        <v>22139</v>
      </c>
      <c r="B12" s="137" t="s">
        <v>139</v>
      </c>
      <c r="C12" s="138">
        <v>1</v>
      </c>
      <c r="D12" s="146" t="s">
        <v>142</v>
      </c>
      <c r="E12" s="86" t="s">
        <v>83</v>
      </c>
      <c r="F12" s="89" t="s">
        <v>1</v>
      </c>
      <c r="G12" s="55"/>
      <c r="H12" s="147"/>
      <c r="I12" s="140"/>
      <c r="J12" s="36"/>
    </row>
    <row r="13" spans="1:10" s="2" customFormat="1" ht="27" customHeight="1" thickBot="1">
      <c r="A13" s="30">
        <f>HYPERLINK("https://bluetooth.atlassian.net/browse/ES-22265",22265)</f>
        <v>22265</v>
      </c>
      <c r="B13" s="141" t="s">
        <v>139</v>
      </c>
      <c r="C13" s="142">
        <v>1</v>
      </c>
      <c r="D13" s="143" t="s">
        <v>143</v>
      </c>
      <c r="E13" s="81" t="s">
        <v>85</v>
      </c>
      <c r="F13" s="94" t="s">
        <v>1</v>
      </c>
      <c r="G13" s="92"/>
      <c r="H13" s="148"/>
      <c r="I13" s="145"/>
      <c r="J13" s="35"/>
    </row>
    <row r="14" spans="1:10" s="2" customFormat="1" ht="28.5" customHeight="1" thickBot="1">
      <c r="A14" s="29">
        <f>HYPERLINK("https://bluetooth.atlassian.net/browse/ES-22461",22461)</f>
        <v>22461</v>
      </c>
      <c r="B14" s="137" t="s">
        <v>139</v>
      </c>
      <c r="C14" s="138">
        <v>1</v>
      </c>
      <c r="D14" s="146" t="s">
        <v>144</v>
      </c>
      <c r="E14" s="86" t="s">
        <v>83</v>
      </c>
      <c r="F14" s="89" t="s">
        <v>1</v>
      </c>
      <c r="G14" s="55"/>
      <c r="H14" s="147"/>
      <c r="I14" s="140"/>
      <c r="J14" s="36"/>
    </row>
    <row r="15" spans="1:10" s="2" customFormat="1" ht="27" customHeight="1" thickBot="1">
      <c r="A15" s="30">
        <f>HYPERLINK("https://bluetooth.atlassian.net/browse/ES-23755",23755)</f>
        <v>23755</v>
      </c>
      <c r="B15" s="141" t="s">
        <v>139</v>
      </c>
      <c r="C15" s="142">
        <v>1</v>
      </c>
      <c r="D15" s="143" t="s">
        <v>107</v>
      </c>
      <c r="E15" s="81" t="s">
        <v>4</v>
      </c>
      <c r="F15" s="94" t="s">
        <v>1</v>
      </c>
      <c r="G15" s="92"/>
      <c r="H15" s="148"/>
      <c r="I15" s="145"/>
      <c r="J15" s="35"/>
    </row>
    <row r="18" spans="1:9" ht="15.75" customHeight="1">
      <c r="F18"/>
    </row>
    <row r="19" spans="1:9" ht="15.75" customHeight="1">
      <c r="F19"/>
    </row>
    <row r="20" spans="1:9" ht="15.75" customHeight="1">
      <c r="F20"/>
    </row>
    <row r="21" spans="1:9" ht="15.75" customHeight="1">
      <c r="F21"/>
    </row>
    <row r="22" spans="1:9" ht="15.75" customHeight="1">
      <c r="F22"/>
    </row>
    <row r="23" spans="1:9" ht="15.75" customHeight="1">
      <c r="F23"/>
    </row>
    <row r="25" spans="1:9" ht="15.75" customHeight="1">
      <c r="A25" s="41"/>
      <c r="B25" s="42"/>
      <c r="C25" s="42"/>
      <c r="D25" s="42"/>
      <c r="F25" s="42"/>
      <c r="G25" s="42"/>
      <c r="H25" s="42"/>
      <c r="I25" s="42"/>
    </row>
    <row r="26" spans="1:9" ht="15.75" customHeight="1">
      <c r="A26" s="41"/>
      <c r="B26" s="42"/>
      <c r="C26" s="42"/>
      <c r="D26" s="42"/>
      <c r="F26" s="42"/>
      <c r="G26" s="42"/>
      <c r="H26" s="42"/>
      <c r="I26" s="42"/>
    </row>
    <row r="27" spans="1:9" ht="15.75" customHeight="1">
      <c r="A27" s="41"/>
      <c r="B27" s="42"/>
      <c r="C27" s="42"/>
      <c r="D27" s="42"/>
      <c r="F27" s="42"/>
      <c r="G27" s="42"/>
      <c r="H27" s="42"/>
      <c r="I27" s="42"/>
    </row>
    <row r="28" spans="1:9" ht="15.75" customHeight="1">
      <c r="A28" s="41"/>
      <c r="B28" s="42"/>
      <c r="C28" s="42"/>
      <c r="D28" s="42"/>
      <c r="F28" s="42"/>
      <c r="G28" s="42"/>
      <c r="H28" s="42"/>
      <c r="I28" s="42"/>
    </row>
  </sheetData>
  <mergeCells count="7">
    <mergeCell ref="A7:B7"/>
    <mergeCell ref="A2:I2"/>
    <mergeCell ref="A3:I3"/>
    <mergeCell ref="D4:F4"/>
    <mergeCell ref="G4:I4"/>
    <mergeCell ref="D5:F5"/>
    <mergeCell ref="G5:I5"/>
  </mergeCells>
  <conditionalFormatting sqref="F10:F15">
    <cfRule type="cellIs" dxfId="14" priority="1" operator="greaterThan">
      <formula>"Yes"</formula>
    </cfRule>
  </conditionalFormatting>
  <dataValidations count="6">
    <dataValidation type="list" allowBlank="1" sqref="I10:I15" xr:uid="{CAF27647-E81E-4B04-AB71-CE7C36B465CD}">
      <formula1>"Open,Approved,Rejected,Released"</formula1>
    </dataValidation>
    <dataValidation type="list" allowBlank="1" showInputMessage="1" showErrorMessage="1" sqref="G10:G15" xr:uid="{217C7753-3503-455D-B8A6-2EEBEEBE1764}">
      <formula1>"1,2,3,4,Not Categorized"</formula1>
    </dataValidation>
    <dataValidation type="list" allowBlank="1" showInputMessage="1" showErrorMessage="1" sqref="E10:E15" xr:uid="{382F9281-FBCB-41B5-87DA-86DF9F4C6F05}">
      <formula1>"Editorial,1/Technical Low,2/Technical Medium,3/Technical High,4/Technical Critical,Not Categorized"</formula1>
    </dataValidation>
    <dataValidation type="list" allowBlank="1" sqref="F10:F15" xr:uid="{7D41EA2D-75D7-46C5-8984-929E7457E0EB}">
      <formula1>"No,Yes - doesn't need to wait for erratum,Yes - tied to spec change,Not Reviewed"</formula1>
    </dataValidation>
    <dataValidation type="list" allowBlank="1" sqref="F9:I9" xr:uid="{119B7C5F-9A6F-405A-8AB4-EB83F725CEE7}">
      <formula1>#REF!</formula1>
    </dataValidation>
    <dataValidation allowBlank="1" sqref="H10:H15" xr:uid="{4F1692DF-3643-4D06-BC5D-C58321948991}"/>
  </dataValidations>
  <hyperlinks>
    <hyperlink ref="A12" r:id="rId1" display="https://www.bluetooth.org/errata/errata_view.cfm?errata_id=894" xr:uid="{F52D6D69-F6DA-4145-81F8-0360EF9140B5}"/>
    <hyperlink ref="A14" r:id="rId2" display="https://www.bluetooth.org/errata/errata_view.cfm?errata_id=894" xr:uid="{1C9C28C4-7A1D-4418-BBB6-CAA41AC07AFB}"/>
  </hyperlinks>
  <pageMargins left="0.7" right="0.7" top="0.75" bottom="0.75" header="0.3" footer="0.3"/>
  <pageSetup paperSize="9"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J48"/>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style="46"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7109375" customWidth="1"/>
  </cols>
  <sheetData>
    <row r="1" spans="1:10" ht="28.5" customHeight="1" thickBot="1">
      <c r="A1" s="19" t="s">
        <v>26</v>
      </c>
      <c r="B1" s="21"/>
      <c r="C1" s="21"/>
      <c r="D1" s="43"/>
      <c r="E1" s="26"/>
      <c r="F1" s="27"/>
      <c r="G1" s="27"/>
      <c r="H1" s="27"/>
      <c r="I1" s="27"/>
      <c r="J1" s="26"/>
    </row>
    <row r="2" spans="1:10" ht="66.75" customHeight="1" thickBot="1">
      <c r="A2" s="205" t="s">
        <v>21</v>
      </c>
      <c r="B2" s="206"/>
      <c r="C2" s="206"/>
      <c r="D2" s="206"/>
      <c r="E2" s="206"/>
      <c r="F2" s="206"/>
      <c r="G2" s="206"/>
      <c r="H2" s="206"/>
      <c r="I2" s="207"/>
      <c r="J2" s="26"/>
    </row>
    <row r="3" spans="1:10" ht="51.95" customHeight="1" thickBot="1">
      <c r="A3" s="205" t="s">
        <v>22</v>
      </c>
      <c r="B3" s="206"/>
      <c r="C3" s="206"/>
      <c r="D3" s="206"/>
      <c r="E3" s="206"/>
      <c r="F3" s="206"/>
      <c r="G3" s="206"/>
      <c r="H3" s="206"/>
      <c r="I3" s="207"/>
      <c r="J3" s="26"/>
    </row>
    <row r="4" spans="1:10" s="4" customFormat="1" ht="30.2" customHeight="1" thickBot="1">
      <c r="A4" s="50" t="s">
        <v>7</v>
      </c>
      <c r="B4" s="51" t="s">
        <v>5</v>
      </c>
      <c r="C4" s="50" t="s">
        <v>23</v>
      </c>
      <c r="D4" s="215" t="s">
        <v>8</v>
      </c>
      <c r="E4" s="216"/>
      <c r="F4" s="217"/>
      <c r="G4" s="215" t="s">
        <v>17</v>
      </c>
      <c r="H4" s="216"/>
      <c r="I4" s="217"/>
      <c r="J4" s="26"/>
    </row>
    <row r="5" spans="1:10" s="34" customFormat="1" ht="26.25" customHeight="1" thickBot="1">
      <c r="A5" s="52" t="s">
        <v>27</v>
      </c>
      <c r="B5" s="53">
        <v>44733</v>
      </c>
      <c r="C5" s="52" t="s">
        <v>9</v>
      </c>
      <c r="D5" s="209" t="s">
        <v>46</v>
      </c>
      <c r="E5" s="210"/>
      <c r="F5" s="211"/>
      <c r="G5" s="202" t="s">
        <v>16</v>
      </c>
      <c r="H5" s="203"/>
      <c r="I5" s="204"/>
      <c r="J5" s="26"/>
    </row>
    <row r="6" spans="1:10" s="34" customFormat="1" ht="40.700000000000003" customHeight="1" thickBot="1">
      <c r="A6" s="52" t="s">
        <v>76</v>
      </c>
      <c r="B6" s="53">
        <v>45566</v>
      </c>
      <c r="C6" s="52" t="s">
        <v>9</v>
      </c>
      <c r="D6" s="212" t="s">
        <v>84</v>
      </c>
      <c r="E6" s="213"/>
      <c r="F6" s="214"/>
      <c r="G6" s="212" t="s">
        <v>16</v>
      </c>
      <c r="H6" s="213"/>
      <c r="I6" s="214"/>
      <c r="J6" s="26"/>
    </row>
    <row r="7" spans="1:10" s="4" customFormat="1" ht="15">
      <c r="A7" s="28"/>
      <c r="B7" s="28"/>
      <c r="C7" s="28"/>
      <c r="D7" s="44"/>
      <c r="E7" s="28"/>
      <c r="F7" s="28"/>
      <c r="G7" s="28"/>
      <c r="H7" s="28"/>
      <c r="I7" s="28"/>
      <c r="J7" s="26"/>
    </row>
    <row r="8" spans="1:10" ht="21" customHeight="1">
      <c r="A8" s="208" t="s">
        <v>6</v>
      </c>
      <c r="B8" s="208"/>
      <c r="C8" s="73"/>
      <c r="D8" s="43"/>
      <c r="E8" s="26"/>
      <c r="F8" s="27"/>
      <c r="G8" s="27"/>
      <c r="H8" s="27"/>
      <c r="I8" s="27"/>
      <c r="J8" s="26"/>
    </row>
    <row r="9" spans="1:10" ht="21" customHeight="1" thickBot="1">
      <c r="A9" s="129" t="s">
        <v>132</v>
      </c>
      <c r="B9" s="20"/>
      <c r="C9" s="73"/>
      <c r="D9" s="45"/>
      <c r="E9" s="26"/>
      <c r="F9" s="27"/>
      <c r="G9" s="27"/>
      <c r="H9" s="27"/>
      <c r="I9" s="27"/>
      <c r="J9" s="26"/>
    </row>
    <row r="10" spans="1:10" s="2" customFormat="1" ht="24.75" customHeight="1" thickBot="1">
      <c r="A10" s="22" t="s">
        <v>18</v>
      </c>
      <c r="B10" s="22" t="s">
        <v>133</v>
      </c>
      <c r="C10" s="22" t="s">
        <v>77</v>
      </c>
      <c r="D10" s="23" t="s">
        <v>20</v>
      </c>
      <c r="E10" s="23" t="s">
        <v>134</v>
      </c>
      <c r="F10" s="24" t="s">
        <v>0</v>
      </c>
      <c r="G10" s="23" t="s">
        <v>135</v>
      </c>
      <c r="H10" s="24" t="s">
        <v>136</v>
      </c>
      <c r="I10" s="24" t="s">
        <v>3</v>
      </c>
      <c r="J10" s="23" t="s">
        <v>2</v>
      </c>
    </row>
    <row r="11" spans="1:10" s="2" customFormat="1" ht="39" thickBot="1">
      <c r="A11" s="83">
        <f>HYPERLINK("https://bluetooth.atlassian.net/browse/ES-17650",17650)</f>
        <v>17650</v>
      </c>
      <c r="B11" s="84" t="s">
        <v>78</v>
      </c>
      <c r="C11" s="85">
        <v>1</v>
      </c>
      <c r="D11" s="146" t="s">
        <v>29</v>
      </c>
      <c r="E11" s="86" t="s">
        <v>80</v>
      </c>
      <c r="F11" s="37" t="s">
        <v>79</v>
      </c>
      <c r="G11" s="121">
        <v>1</v>
      </c>
      <c r="H11" s="149">
        <f>HYPERLINK("https://bluetooth.atlassian.net/browse/ES-18692",18692)</f>
        <v>18692</v>
      </c>
      <c r="I11" s="89" t="s">
        <v>24</v>
      </c>
      <c r="J11" s="123" t="s">
        <v>44</v>
      </c>
    </row>
    <row r="12" spans="1:10" ht="18.95" customHeight="1" thickBot="1">
      <c r="A12" s="90">
        <f>HYPERLINK("https://bluetooth.atlassian.net/browse/ES-17667",17667)</f>
        <v>17667</v>
      </c>
      <c r="B12" s="91" t="s">
        <v>78</v>
      </c>
      <c r="C12" s="79">
        <v>1</v>
      </c>
      <c r="D12" s="150" t="s">
        <v>30</v>
      </c>
      <c r="E12" s="81" t="s">
        <v>4</v>
      </c>
      <c r="F12" s="82" t="s">
        <v>1</v>
      </c>
      <c r="G12" s="91"/>
      <c r="H12" s="151"/>
      <c r="I12" s="82"/>
      <c r="J12" s="152"/>
    </row>
    <row r="13" spans="1:10" ht="26.25" thickBot="1">
      <c r="A13" s="47">
        <f>HYPERLINK("https://bluetooth.atlassian.net/browse/ES-17674",17674)</f>
        <v>17674</v>
      </c>
      <c r="B13" s="84" t="s">
        <v>78</v>
      </c>
      <c r="C13" s="85">
        <v>1</v>
      </c>
      <c r="D13" s="146" t="s">
        <v>31</v>
      </c>
      <c r="E13" s="86" t="s">
        <v>83</v>
      </c>
      <c r="F13" s="89" t="s">
        <v>1</v>
      </c>
      <c r="G13" s="55"/>
      <c r="H13" s="153"/>
      <c r="I13" s="89"/>
      <c r="J13" s="107"/>
    </row>
    <row r="14" spans="1:10" ht="18.95" customHeight="1" thickBot="1">
      <c r="A14" s="90">
        <f>HYPERLINK("https://bluetooth.atlassian.net/browse/ES-17696",17696)</f>
        <v>17696</v>
      </c>
      <c r="B14" s="92" t="s">
        <v>78</v>
      </c>
      <c r="C14" s="93">
        <v>1</v>
      </c>
      <c r="D14" s="150" t="s">
        <v>32</v>
      </c>
      <c r="E14" s="81" t="s">
        <v>4</v>
      </c>
      <c r="F14" s="94" t="s">
        <v>1</v>
      </c>
      <c r="G14" s="92"/>
      <c r="H14" s="151"/>
      <c r="I14" s="82"/>
      <c r="J14" s="152"/>
    </row>
    <row r="15" spans="1:10" ht="26.25" thickBot="1">
      <c r="A15" s="47">
        <f>HYPERLINK("https://bluetooth.atlassian.net/browse/ES-17821",17821)</f>
        <v>17821</v>
      </c>
      <c r="B15" s="84" t="s">
        <v>78</v>
      </c>
      <c r="C15" s="85">
        <v>1</v>
      </c>
      <c r="D15" s="146" t="s">
        <v>33</v>
      </c>
      <c r="E15" s="86" t="s">
        <v>80</v>
      </c>
      <c r="F15" s="89" t="s">
        <v>1</v>
      </c>
      <c r="G15" s="55"/>
      <c r="H15" s="153"/>
      <c r="I15" s="89"/>
      <c r="J15" s="107"/>
    </row>
    <row r="16" spans="1:10" ht="39" thickBot="1">
      <c r="A16" s="90">
        <f>HYPERLINK("https://bluetooth.atlassian.net/browse/ES-17835",17835)</f>
        <v>17835</v>
      </c>
      <c r="B16" s="92" t="s">
        <v>78</v>
      </c>
      <c r="C16" s="93">
        <v>1</v>
      </c>
      <c r="D16" s="150" t="s">
        <v>34</v>
      </c>
      <c r="E16" s="81" t="s">
        <v>4</v>
      </c>
      <c r="F16" s="94" t="s">
        <v>1</v>
      </c>
      <c r="G16" s="92"/>
      <c r="H16" s="151"/>
      <c r="I16" s="82"/>
      <c r="J16" s="152"/>
    </row>
    <row r="17" spans="1:10" ht="18.95" customHeight="1" thickBot="1">
      <c r="A17" s="47">
        <f>HYPERLINK("https://bluetooth.atlassian.net/browse/ES-17836",17836)</f>
        <v>17836</v>
      </c>
      <c r="B17" s="84" t="s">
        <v>78</v>
      </c>
      <c r="C17" s="85">
        <v>1</v>
      </c>
      <c r="D17" s="146" t="s">
        <v>35</v>
      </c>
      <c r="E17" s="86" t="s">
        <v>4</v>
      </c>
      <c r="F17" s="89" t="s">
        <v>1</v>
      </c>
      <c r="G17" s="55"/>
      <c r="H17" s="153"/>
      <c r="I17" s="89"/>
      <c r="J17" s="107"/>
    </row>
    <row r="18" spans="1:10" ht="26.25" thickBot="1">
      <c r="A18" s="90">
        <f>HYPERLINK("https://bluetooth.atlassian.net/browse/ES-17837",17837)</f>
        <v>17837</v>
      </c>
      <c r="B18" s="92" t="s">
        <v>78</v>
      </c>
      <c r="C18" s="93">
        <v>1</v>
      </c>
      <c r="D18" s="150" t="s">
        <v>36</v>
      </c>
      <c r="E18" s="81" t="s">
        <v>80</v>
      </c>
      <c r="F18" s="94" t="s">
        <v>1</v>
      </c>
      <c r="G18" s="92"/>
      <c r="H18" s="151"/>
      <c r="I18" s="82"/>
      <c r="J18" s="152"/>
    </row>
    <row r="19" spans="1:10" ht="37.5" customHeight="1" thickBot="1">
      <c r="A19" s="47">
        <f>HYPERLINK("https://bluetooth.atlassian.net/browse/ES-17949",17949)</f>
        <v>17949</v>
      </c>
      <c r="B19" s="84" t="s">
        <v>78</v>
      </c>
      <c r="C19" s="85">
        <v>1</v>
      </c>
      <c r="D19" s="146" t="s">
        <v>37</v>
      </c>
      <c r="E19" s="86" t="s">
        <v>80</v>
      </c>
      <c r="F19" s="89" t="s">
        <v>1</v>
      </c>
      <c r="G19" s="55"/>
      <c r="H19" s="153"/>
      <c r="I19" s="89"/>
      <c r="J19" s="107"/>
    </row>
    <row r="20" spans="1:10" ht="25.5" customHeight="1" thickBot="1">
      <c r="A20" s="90">
        <f>HYPERLINK("https://bluetooth.atlassian.net/browse/ES-18156",18156)</f>
        <v>18156</v>
      </c>
      <c r="B20" s="92" t="s">
        <v>78</v>
      </c>
      <c r="C20" s="93">
        <v>1</v>
      </c>
      <c r="D20" s="150" t="s">
        <v>38</v>
      </c>
      <c r="E20" s="81" t="s">
        <v>4</v>
      </c>
      <c r="F20" s="94" t="s">
        <v>1</v>
      </c>
      <c r="G20" s="92"/>
      <c r="H20" s="151"/>
      <c r="I20" s="82"/>
      <c r="J20" s="152"/>
    </row>
    <row r="21" spans="1:10" ht="18.95" customHeight="1" thickBot="1">
      <c r="A21" s="47">
        <f>HYPERLINK("https://bluetooth.atlassian.net/browse/ES-18205",18205)</f>
        <v>18205</v>
      </c>
      <c r="B21" s="84" t="s">
        <v>78</v>
      </c>
      <c r="C21" s="85">
        <v>1</v>
      </c>
      <c r="D21" s="146" t="s">
        <v>39</v>
      </c>
      <c r="E21" s="86" t="s">
        <v>4</v>
      </c>
      <c r="F21" s="89" t="s">
        <v>1</v>
      </c>
      <c r="G21" s="55"/>
      <c r="H21" s="153"/>
      <c r="I21" s="89"/>
      <c r="J21" s="107"/>
    </row>
    <row r="22" spans="1:10" s="2" customFormat="1" ht="44.1" customHeight="1" thickBot="1">
      <c r="A22" s="90">
        <f>HYPERLINK("https://bluetooth.atlassian.net/browse/ES-18524",18524)</f>
        <v>18524</v>
      </c>
      <c r="B22" s="91" t="s">
        <v>78</v>
      </c>
      <c r="C22" s="96">
        <v>1</v>
      </c>
      <c r="D22" s="97" t="s">
        <v>28</v>
      </c>
      <c r="E22" s="81" t="s">
        <v>81</v>
      </c>
      <c r="F22" s="82" t="s">
        <v>82</v>
      </c>
      <c r="G22" s="82">
        <v>2</v>
      </c>
      <c r="H22" s="154">
        <f>HYPERLINK("https://bluetooth.atlassian.net/browse/ES-18561",18561)</f>
        <v>18561</v>
      </c>
      <c r="I22" s="82" t="s">
        <v>24</v>
      </c>
      <c r="J22" s="91" t="s">
        <v>45</v>
      </c>
    </row>
    <row r="23" spans="1:10" ht="15.95" customHeight="1" thickBot="1">
      <c r="A23" s="47">
        <f>HYPERLINK("https://bluetooth.atlassian.net/browse/ES-18619",18619)</f>
        <v>18619</v>
      </c>
      <c r="B23" s="36" t="s">
        <v>78</v>
      </c>
      <c r="C23" s="78">
        <v>1</v>
      </c>
      <c r="D23" s="146" t="s">
        <v>40</v>
      </c>
      <c r="E23" s="86" t="s">
        <v>4</v>
      </c>
      <c r="F23" s="37" t="s">
        <v>1</v>
      </c>
      <c r="G23" s="55"/>
      <c r="H23" s="155"/>
      <c r="I23" s="140"/>
      <c r="J23" s="156"/>
    </row>
    <row r="24" spans="1:10" ht="29.25" customHeight="1" thickBot="1">
      <c r="A24" s="49">
        <f>HYPERLINK("https://bluetooth.atlassian.net/browse/ES-18768",18768)</f>
        <v>18768</v>
      </c>
      <c r="B24" s="54" t="s">
        <v>78</v>
      </c>
      <c r="C24" s="79">
        <v>1</v>
      </c>
      <c r="D24" s="143" t="s">
        <v>41</v>
      </c>
      <c r="E24" s="81" t="s">
        <v>4</v>
      </c>
      <c r="F24" s="82" t="s">
        <v>1</v>
      </c>
      <c r="G24" s="91"/>
      <c r="H24" s="157"/>
      <c r="I24" s="145"/>
      <c r="J24" s="158"/>
    </row>
    <row r="25" spans="1:10" ht="27" customHeight="1" thickBot="1">
      <c r="A25" s="47">
        <f>HYPERLINK("https://bluetooth.atlassian.net/browse/ES-18771",18771)</f>
        <v>18771</v>
      </c>
      <c r="B25" s="36" t="s">
        <v>78</v>
      </c>
      <c r="C25" s="78">
        <v>1</v>
      </c>
      <c r="D25" s="146" t="s">
        <v>42</v>
      </c>
      <c r="E25" s="86" t="s">
        <v>4</v>
      </c>
      <c r="F25" s="37" t="s">
        <v>1</v>
      </c>
      <c r="G25" s="55"/>
      <c r="H25" s="155"/>
      <c r="I25" s="140"/>
      <c r="J25" s="156"/>
    </row>
    <row r="26" spans="1:10" ht="24.75" customHeight="1" thickBot="1">
      <c r="A26" s="39">
        <f>HYPERLINK("https://bluetooth.atlassian.net/browse/ES-18777",18777)</f>
        <v>18777</v>
      </c>
      <c r="B26" s="143" t="s">
        <v>78</v>
      </c>
      <c r="C26" s="159">
        <v>1</v>
      </c>
      <c r="D26" s="143" t="s">
        <v>43</v>
      </c>
      <c r="E26" s="81" t="s">
        <v>4</v>
      </c>
      <c r="F26" s="82" t="s">
        <v>1</v>
      </c>
      <c r="G26" s="91"/>
      <c r="H26" s="157"/>
      <c r="I26" s="145"/>
      <c r="J26" s="158"/>
    </row>
    <row r="27" spans="1:10" ht="15.75" customHeight="1" thickBot="1">
      <c r="A27" s="47">
        <f>HYPERLINK("https://bluetooth.atlassian.net/browse/ES-18849",18849)</f>
        <v>18849</v>
      </c>
      <c r="B27" s="36" t="s">
        <v>78</v>
      </c>
      <c r="C27" s="78">
        <v>1</v>
      </c>
      <c r="D27" s="146" t="s">
        <v>90</v>
      </c>
      <c r="E27" s="86" t="s">
        <v>4</v>
      </c>
      <c r="F27" s="37" t="s">
        <v>1</v>
      </c>
      <c r="G27" s="55"/>
      <c r="H27" s="155"/>
      <c r="I27" s="140"/>
      <c r="J27" s="156"/>
    </row>
    <row r="28" spans="1:10" ht="15.75" customHeight="1" thickBot="1">
      <c r="A28" s="39">
        <f>HYPERLINK("https://bluetooth.atlassian.net/browse/ES-18876",18876)</f>
        <v>18876</v>
      </c>
      <c r="B28" s="143" t="s">
        <v>78</v>
      </c>
      <c r="C28" s="159">
        <v>1</v>
      </c>
      <c r="D28" s="143" t="s">
        <v>91</v>
      </c>
      <c r="E28" s="81" t="s">
        <v>4</v>
      </c>
      <c r="F28" s="82" t="s">
        <v>1</v>
      </c>
      <c r="G28" s="91"/>
      <c r="H28" s="157"/>
      <c r="I28" s="145"/>
      <c r="J28" s="158"/>
    </row>
    <row r="29" spans="1:10" ht="15.75" customHeight="1" thickBot="1">
      <c r="A29" s="47">
        <f>HYPERLINK("https://bluetooth.atlassian.net/browse/ES-18877",18877)</f>
        <v>18877</v>
      </c>
      <c r="B29" s="36" t="s">
        <v>78</v>
      </c>
      <c r="C29" s="78">
        <v>1</v>
      </c>
      <c r="D29" s="146" t="s">
        <v>92</v>
      </c>
      <c r="E29" s="86" t="s">
        <v>4</v>
      </c>
      <c r="F29" s="37" t="s">
        <v>1</v>
      </c>
      <c r="G29" s="55"/>
      <c r="H29" s="155"/>
      <c r="I29" s="140"/>
      <c r="J29" s="156"/>
    </row>
    <row r="30" spans="1:10" ht="15.75" customHeight="1" thickBot="1">
      <c r="A30" s="39">
        <f>HYPERLINK("https://bluetooth.atlassian.net/browse/ES-19050",19050)</f>
        <v>19050</v>
      </c>
      <c r="B30" s="143" t="s">
        <v>78</v>
      </c>
      <c r="C30" s="159">
        <v>1</v>
      </c>
      <c r="D30" s="143" t="s">
        <v>93</v>
      </c>
      <c r="E30" s="81" t="s">
        <v>4</v>
      </c>
      <c r="F30" s="82" t="s">
        <v>1</v>
      </c>
      <c r="G30" s="91"/>
      <c r="H30" s="157"/>
      <c r="I30" s="145"/>
      <c r="J30" s="158"/>
    </row>
    <row r="31" spans="1:10" ht="15.75" customHeight="1" thickBot="1">
      <c r="A31" s="47">
        <f>HYPERLINK("https://bluetooth.atlassian.net/browse/ES-19105",19105)</f>
        <v>19105</v>
      </c>
      <c r="B31" s="36" t="s">
        <v>78</v>
      </c>
      <c r="C31" s="78">
        <v>1</v>
      </c>
      <c r="D31" s="146" t="s">
        <v>94</v>
      </c>
      <c r="E31" s="86" t="s">
        <v>4</v>
      </c>
      <c r="F31" s="37" t="s">
        <v>1</v>
      </c>
      <c r="G31" s="55"/>
      <c r="H31" s="155"/>
      <c r="I31" s="140"/>
      <c r="J31" s="156"/>
    </row>
    <row r="32" spans="1:10" ht="39" thickBot="1">
      <c r="A32" s="39">
        <f>HYPERLINK("https://bluetooth.atlassian.net/browse/ES-19111",19111)</f>
        <v>19111</v>
      </c>
      <c r="B32" s="143" t="s">
        <v>78</v>
      </c>
      <c r="C32" s="159">
        <v>1</v>
      </c>
      <c r="D32" s="143" t="s">
        <v>95</v>
      </c>
      <c r="E32" s="81" t="s">
        <v>83</v>
      </c>
      <c r="F32" s="82" t="s">
        <v>79</v>
      </c>
      <c r="G32" s="82">
        <v>2</v>
      </c>
      <c r="H32" s="160">
        <v>22920</v>
      </c>
      <c r="I32" s="82" t="s">
        <v>24</v>
      </c>
      <c r="J32" s="106" t="s">
        <v>203</v>
      </c>
    </row>
    <row r="33" spans="1:10" ht="15.75" customHeight="1" thickBot="1">
      <c r="A33" s="47">
        <f>HYPERLINK("https://bluetooth.atlassian.net/browse/ES-19289",19289)</f>
        <v>19289</v>
      </c>
      <c r="B33" s="36" t="s">
        <v>78</v>
      </c>
      <c r="C33" s="78" t="s">
        <v>112</v>
      </c>
      <c r="D33" s="146" t="s">
        <v>96</v>
      </c>
      <c r="E33" s="86" t="s">
        <v>4</v>
      </c>
      <c r="F33" s="37" t="s">
        <v>1</v>
      </c>
      <c r="G33" s="55"/>
      <c r="H33" s="153"/>
      <c r="I33" s="89"/>
      <c r="J33" s="107"/>
    </row>
    <row r="34" spans="1:10" ht="15.75" customHeight="1" thickBot="1">
      <c r="A34" s="39">
        <f>HYPERLINK("https://bluetooth.atlassian.net/browse/ES-19296",19296)</f>
        <v>19296</v>
      </c>
      <c r="B34" s="143" t="s">
        <v>78</v>
      </c>
      <c r="C34" s="159" t="s">
        <v>112</v>
      </c>
      <c r="D34" s="143" t="s">
        <v>97</v>
      </c>
      <c r="E34" s="81" t="s">
        <v>4</v>
      </c>
      <c r="F34" s="82" t="s">
        <v>1</v>
      </c>
      <c r="G34" s="91"/>
      <c r="H34" s="161"/>
      <c r="I34" s="82"/>
      <c r="J34" s="106"/>
    </row>
    <row r="35" spans="1:10" ht="39" thickBot="1">
      <c r="A35" s="47">
        <f>HYPERLINK("https://bluetooth.atlassian.net/browse/ES-20442",20442)</f>
        <v>20442</v>
      </c>
      <c r="B35" s="36" t="s">
        <v>78</v>
      </c>
      <c r="C35" s="78" t="s">
        <v>112</v>
      </c>
      <c r="D35" s="146" t="s">
        <v>98</v>
      </c>
      <c r="E35" s="86" t="s">
        <v>83</v>
      </c>
      <c r="F35" s="82" t="s">
        <v>79</v>
      </c>
      <c r="G35" s="89">
        <v>2</v>
      </c>
      <c r="H35" s="162">
        <v>22921</v>
      </c>
      <c r="I35" s="89" t="s">
        <v>24</v>
      </c>
      <c r="J35" s="163" t="s">
        <v>203</v>
      </c>
    </row>
    <row r="36" spans="1:10" ht="26.25" thickBot="1">
      <c r="A36" s="39">
        <f>HYPERLINK("https://bluetooth.atlassian.net/browse/ES-20483",20483)</f>
        <v>20483</v>
      </c>
      <c r="B36" s="143" t="s">
        <v>78</v>
      </c>
      <c r="C36" s="159" t="s">
        <v>112</v>
      </c>
      <c r="D36" s="143" t="s">
        <v>99</v>
      </c>
      <c r="E36" s="81" t="s">
        <v>83</v>
      </c>
      <c r="F36" s="82" t="s">
        <v>1</v>
      </c>
      <c r="G36" s="91"/>
      <c r="H36" s="161"/>
      <c r="I36" s="82"/>
      <c r="J36" s="106"/>
    </row>
    <row r="37" spans="1:10" ht="39" thickBot="1">
      <c r="A37" s="47">
        <f>HYPERLINK("https://bluetooth.atlassian.net/browse/ES-20597",20597)</f>
        <v>20597</v>
      </c>
      <c r="B37" s="36" t="s">
        <v>78</v>
      </c>
      <c r="C37" s="78" t="s">
        <v>112</v>
      </c>
      <c r="D37" s="146" t="s">
        <v>100</v>
      </c>
      <c r="E37" s="86" t="s">
        <v>83</v>
      </c>
      <c r="F37" s="37" t="s">
        <v>1</v>
      </c>
      <c r="G37" s="55"/>
      <c r="H37" s="153"/>
      <c r="I37" s="89"/>
      <c r="J37" s="107"/>
    </row>
    <row r="38" spans="1:10" ht="26.25" thickBot="1">
      <c r="A38" s="39">
        <f>HYPERLINK("https://bluetooth.atlassian.net/browse/ES-22215",22215)</f>
        <v>22215</v>
      </c>
      <c r="B38" s="143" t="s">
        <v>78</v>
      </c>
      <c r="C38" s="159" t="s">
        <v>113</v>
      </c>
      <c r="D38" s="143" t="s">
        <v>101</v>
      </c>
      <c r="E38" s="81" t="s">
        <v>85</v>
      </c>
      <c r="F38" s="82" t="s">
        <v>1</v>
      </c>
      <c r="G38" s="91"/>
      <c r="H38" s="161"/>
      <c r="I38" s="82"/>
      <c r="J38" s="106"/>
    </row>
    <row r="39" spans="1:10" ht="15.75" customHeight="1" thickBot="1">
      <c r="A39" s="47">
        <f>HYPERLINK("https://bluetooth.atlassian.net/browse/ES-22230",22230)</f>
        <v>22230</v>
      </c>
      <c r="B39" s="36" t="s">
        <v>78</v>
      </c>
      <c r="C39" s="78">
        <v>1</v>
      </c>
      <c r="D39" s="146" t="s">
        <v>102</v>
      </c>
      <c r="E39" s="86" t="s">
        <v>4</v>
      </c>
      <c r="F39" s="37" t="s">
        <v>1</v>
      </c>
      <c r="G39" s="55"/>
      <c r="H39" s="153"/>
      <c r="I39" s="89"/>
      <c r="J39" s="107"/>
    </row>
    <row r="40" spans="1:10" ht="39" thickBot="1">
      <c r="A40" s="39">
        <f>HYPERLINK("https://bluetooth.atlassian.net/browse/ES-22266",22266)</f>
        <v>22266</v>
      </c>
      <c r="B40" s="143" t="s">
        <v>78</v>
      </c>
      <c r="C40" s="159" t="s">
        <v>114</v>
      </c>
      <c r="D40" s="143" t="s">
        <v>103</v>
      </c>
      <c r="E40" s="81" t="s">
        <v>86</v>
      </c>
      <c r="F40" s="82" t="s">
        <v>79</v>
      </c>
      <c r="G40" s="82">
        <v>4</v>
      </c>
      <c r="H40" s="160">
        <v>24322</v>
      </c>
      <c r="I40" s="82" t="s">
        <v>24</v>
      </c>
      <c r="J40" s="164" t="s">
        <v>204</v>
      </c>
    </row>
    <row r="41" spans="1:10" ht="26.25" thickBot="1">
      <c r="A41" s="47">
        <f>HYPERLINK("https://bluetooth.atlassian.net/browse/ES-22754",22754)</f>
        <v>22754</v>
      </c>
      <c r="B41" s="36" t="s">
        <v>78</v>
      </c>
      <c r="C41" s="78" t="s">
        <v>112</v>
      </c>
      <c r="D41" s="146" t="s">
        <v>104</v>
      </c>
      <c r="E41" s="86" t="s">
        <v>83</v>
      </c>
      <c r="F41" s="37" t="s">
        <v>1</v>
      </c>
      <c r="G41" s="55"/>
      <c r="H41" s="153"/>
      <c r="I41" s="89"/>
      <c r="J41" s="107"/>
    </row>
    <row r="42" spans="1:10" ht="15.75" customHeight="1" thickBot="1">
      <c r="A42" s="39">
        <f>HYPERLINK("https://bluetooth.atlassian.net/browse/ES-22890",22890)</f>
        <v>22890</v>
      </c>
      <c r="B42" s="143" t="s">
        <v>78</v>
      </c>
      <c r="C42" s="159" t="s">
        <v>115</v>
      </c>
      <c r="D42" s="143" t="s">
        <v>105</v>
      </c>
      <c r="E42" s="81" t="s">
        <v>4</v>
      </c>
      <c r="F42" s="82" t="s">
        <v>1</v>
      </c>
      <c r="G42" s="91"/>
      <c r="H42" s="161"/>
      <c r="I42" s="82"/>
      <c r="J42" s="106"/>
    </row>
    <row r="43" spans="1:10" ht="15.75" customHeight="1" thickBot="1">
      <c r="A43" s="47">
        <f>HYPERLINK("https://bluetooth.atlassian.net/browse/ES-23025",23025)</f>
        <v>23025</v>
      </c>
      <c r="B43" s="36" t="s">
        <v>78</v>
      </c>
      <c r="C43" s="78" t="s">
        <v>112</v>
      </c>
      <c r="D43" s="146" t="s">
        <v>106</v>
      </c>
      <c r="E43" s="86" t="s">
        <v>4</v>
      </c>
      <c r="F43" s="37" t="s">
        <v>1</v>
      </c>
      <c r="G43" s="55"/>
      <c r="H43" s="153"/>
      <c r="I43" s="89"/>
      <c r="J43" s="107"/>
    </row>
    <row r="44" spans="1:10" ht="15.75" customHeight="1" thickBot="1">
      <c r="A44" s="39">
        <f>HYPERLINK("https://bluetooth.atlassian.net/browse/ES-23760",23760)</f>
        <v>23760</v>
      </c>
      <c r="B44" s="143" t="s">
        <v>78</v>
      </c>
      <c r="C44" s="159" t="s">
        <v>112</v>
      </c>
      <c r="D44" s="143" t="s">
        <v>107</v>
      </c>
      <c r="E44" s="81" t="s">
        <v>4</v>
      </c>
      <c r="F44" s="82" t="s">
        <v>1</v>
      </c>
      <c r="G44" s="91"/>
      <c r="H44" s="161"/>
      <c r="I44" s="82"/>
      <c r="J44" s="106"/>
    </row>
    <row r="45" spans="1:10" ht="39" thickBot="1">
      <c r="A45" s="47">
        <f>HYPERLINK("https://bluetooth.atlassian.net/browse/ES-24038",24038)</f>
        <v>24038</v>
      </c>
      <c r="B45" s="36" t="s">
        <v>78</v>
      </c>
      <c r="C45" s="78" t="s">
        <v>116</v>
      </c>
      <c r="D45" s="146" t="s">
        <v>108</v>
      </c>
      <c r="E45" s="86" t="s">
        <v>86</v>
      </c>
      <c r="F45" s="37" t="s">
        <v>1</v>
      </c>
      <c r="G45" s="55"/>
      <c r="H45" s="153"/>
      <c r="I45" s="89"/>
      <c r="J45" s="107"/>
    </row>
    <row r="46" spans="1:10" ht="26.25" thickBot="1">
      <c r="A46" s="39">
        <f>HYPERLINK("https://bluetooth.atlassian.net/browse/ES-24182",24182)</f>
        <v>24182</v>
      </c>
      <c r="B46" s="143" t="s">
        <v>78</v>
      </c>
      <c r="C46" s="159" t="s">
        <v>115</v>
      </c>
      <c r="D46" s="143" t="s">
        <v>109</v>
      </c>
      <c r="E46" s="81" t="s">
        <v>85</v>
      </c>
      <c r="F46" s="82" t="s">
        <v>1</v>
      </c>
      <c r="G46" s="91"/>
      <c r="H46" s="161"/>
      <c r="I46" s="82"/>
      <c r="J46" s="106"/>
    </row>
    <row r="47" spans="1:10" ht="15.75" customHeight="1" thickBot="1">
      <c r="A47" s="47">
        <f>HYPERLINK("https://bluetooth.atlassian.net/browse/ES-24567",24567)</f>
        <v>24567</v>
      </c>
      <c r="B47" s="36" t="s">
        <v>78</v>
      </c>
      <c r="C47" s="78" t="s">
        <v>117</v>
      </c>
      <c r="D47" s="146" t="s">
        <v>110</v>
      </c>
      <c r="E47" s="86" t="s">
        <v>4</v>
      </c>
      <c r="F47" s="37" t="s">
        <v>1</v>
      </c>
      <c r="G47" s="55"/>
      <c r="H47" s="153"/>
      <c r="I47" s="89"/>
      <c r="J47" s="107"/>
    </row>
    <row r="48" spans="1:10" ht="39" thickBot="1">
      <c r="A48" s="39">
        <f>HYPERLINK("https://bluetooth.atlassian.net/browse/ES-24730",24730)</f>
        <v>24730</v>
      </c>
      <c r="B48" s="143" t="s">
        <v>78</v>
      </c>
      <c r="C48" s="159" t="s">
        <v>118</v>
      </c>
      <c r="D48" s="143" t="s">
        <v>111</v>
      </c>
      <c r="E48" s="81" t="s">
        <v>85</v>
      </c>
      <c r="F48" s="82" t="s">
        <v>79</v>
      </c>
      <c r="G48" s="82">
        <v>4</v>
      </c>
      <c r="H48" s="160">
        <v>24995</v>
      </c>
      <c r="I48" s="82" t="s">
        <v>24</v>
      </c>
      <c r="J48" s="165" t="s">
        <v>205</v>
      </c>
    </row>
  </sheetData>
  <mergeCells count="9">
    <mergeCell ref="A2:I2"/>
    <mergeCell ref="A3:I3"/>
    <mergeCell ref="A8:B8"/>
    <mergeCell ref="D5:F5"/>
    <mergeCell ref="D6:F6"/>
    <mergeCell ref="D4:F4"/>
    <mergeCell ref="G4:I4"/>
    <mergeCell ref="G5:I5"/>
    <mergeCell ref="G6:I6"/>
  </mergeCells>
  <conditionalFormatting sqref="F11:F48">
    <cfRule type="cellIs" dxfId="13" priority="1" operator="greaterThan">
      <formula>"Yes"</formula>
    </cfRule>
  </conditionalFormatting>
  <dataValidations count="6">
    <dataValidation type="list" allowBlank="1" sqref="F10:H10" xr:uid="{2024D8B5-8812-4443-8875-1A1FBDE1541B}">
      <formula1>#REF!</formula1>
    </dataValidation>
    <dataValidation type="list" allowBlank="1" sqref="I10 H22 H11" xr:uid="{8B484408-6987-44D7-8828-A7A628DF0FDD}">
      <formula1>#REF!</formula1>
    </dataValidation>
    <dataValidation type="list" allowBlank="1" sqref="F11:F48" xr:uid="{06C6A51D-9AA9-47C4-9CBC-3A67E3B0EB58}">
      <formula1>"No,Yes - doesn't need to wait for erratum,Yes - tied to spec change,Not Reviewed"</formula1>
    </dataValidation>
    <dataValidation type="list" allowBlank="1" showInputMessage="1" showErrorMessage="1" sqref="G11:G48" xr:uid="{3F39EB2D-DEF4-4CA3-83CB-CB05589DB0E8}">
      <formula1>"1,2,3,4,Not Categorized"</formula1>
    </dataValidation>
    <dataValidation type="list" allowBlank="1" sqref="I11:I48" xr:uid="{FD04B18D-00DA-43CD-88B9-7579DAFF99E9}">
      <formula1>"Open,Approved,Rejected,Released"</formula1>
    </dataValidation>
    <dataValidation type="list" allowBlank="1" showInputMessage="1" showErrorMessage="1" sqref="E11:E48" xr:uid="{FFF5CE6F-B2B1-4540-A710-E62AF3FE0D3B}">
      <formula1>"Editorial,1/Technical Low,2/Technical Medium,3/Technical High,4/Technical Critical,Not Categorized"</formula1>
    </dataValidation>
  </dataValidations>
  <hyperlinks>
    <hyperlink ref="A26" r:id="rId1" display="https://www.bluetooth.org/errata/errata_view.cfm?errata_id=18777" xr:uid="{00000000-0004-0000-0100-000001000000}"/>
    <hyperlink ref="A25" r:id="rId2" display="https://www.bluetooth.org/errata/errata_view.cfm?errata_id=18771" xr:uid="{00000000-0004-0000-0100-000000000000}"/>
    <hyperlink ref="A28" r:id="rId3" display="https://www.bluetooth.org/errata/errata_view.cfm?errata_id=18876" xr:uid="{68CEE374-A63E-457E-A5FE-CB82C5DD2132}"/>
    <hyperlink ref="A27" r:id="rId4" display="https://www.bluetooth.org/errata/errata_view.cfm?errata_id=18849" xr:uid="{E7F3AFB2-A5ED-4279-92B8-00B11E0BCCBF}"/>
    <hyperlink ref="A30" r:id="rId5" display="https://www.bluetooth.org/errata/errata_view.cfm?errata_id=19050" xr:uid="{A33B302E-7B2A-41AC-8C21-F4F45EBBE153}"/>
    <hyperlink ref="A32" r:id="rId6" display="https://www.bluetooth.org/errata/errata_view.cfm?errata_id=19111" xr:uid="{85CC4D9B-C9BD-4FFE-8777-F157E606DF7B}"/>
    <hyperlink ref="A34" r:id="rId7" display="https://www.bluetooth.org/errata/errata_view.cfm?errata_id=19296" xr:uid="{FC9CDD5C-8267-484F-8C44-43C58C3D3676}"/>
    <hyperlink ref="A36" r:id="rId8" display="https://www.bluetooth.org/errata/errata_view.cfm?errata_id=20483" xr:uid="{FE7E7693-8490-45BA-9272-F05048E9CFE7}"/>
    <hyperlink ref="A38" r:id="rId9" display="https://www.bluetooth.org/errata/errata_view.cfm?errata_id=22215" xr:uid="{9894E5E8-DA4A-4460-A68B-2513E4989C08}"/>
    <hyperlink ref="A40" r:id="rId10" display="https://www.bluetooth.org/errata/errata_view.cfm?errata_id=22266" xr:uid="{090E834D-4014-46C4-9186-FBC4110F3270}"/>
    <hyperlink ref="A42" r:id="rId11" display="https://www.bluetooth.org/errata/errata_view.cfm?errata_id=22890" xr:uid="{AFC53F97-7BCA-4590-A956-971DCB4F3A90}"/>
    <hyperlink ref="A44" r:id="rId12" display="https://www.bluetooth.org/errata/errata_view.cfm?errata_id=23760" xr:uid="{BEF4E525-6AC4-4419-BEDF-21F478E517F6}"/>
    <hyperlink ref="A46" r:id="rId13" display="https://www.bluetooth.org/errata/errata_view.cfm?errata_id=24182" xr:uid="{7F595C39-F552-4996-8D7E-7DFA880E352C}"/>
    <hyperlink ref="A48" r:id="rId14" display="https://www.bluetooth.org/errata/errata_view.cfm?errata_id=24730" xr:uid="{75DC237C-8CB4-44E3-8F17-8501DACD1252}"/>
    <hyperlink ref="A29" r:id="rId15" display="https://www.bluetooth.org/errata/errata_view.cfm?errata_id=18877" xr:uid="{1AC887CC-D6FD-4DB2-9BEB-919AF8ACC0E9}"/>
    <hyperlink ref="A31" r:id="rId16" display="https://www.bluetooth.org/errata/errata_view.cfm?errata_id=19105" xr:uid="{F38085C3-49F1-4885-9823-3A58F38EDF37}"/>
    <hyperlink ref="A33" r:id="rId17" display="https://www.bluetooth.org/errata/errata_view.cfm?errata_id=19289" xr:uid="{0B0DA04E-0930-4E99-AA72-4C556633426B}"/>
    <hyperlink ref="A35" r:id="rId18" display="https://www.bluetooth.org/errata/errata_view.cfm?errata_id=20442" xr:uid="{DE92BC5B-0986-4A6D-B703-3D526BB1838C}"/>
    <hyperlink ref="A37" r:id="rId19" display="https://www.bluetooth.org/errata/errata_view.cfm?errata_id=20597" xr:uid="{7831DF94-CE75-4C89-9C33-9193AEBEB86E}"/>
    <hyperlink ref="A39" r:id="rId20" display="https://www.bluetooth.org/errata/errata_view.cfm?errata_id=22230" xr:uid="{47F1C630-D48E-4BDE-A927-6ED67F96F358}"/>
    <hyperlink ref="A41" r:id="rId21" display="https://www.bluetooth.org/errata/errata_view.cfm?errata_id=22754" xr:uid="{00523799-3AD1-436E-8114-0643FB324B5D}"/>
    <hyperlink ref="A43" r:id="rId22" display="https://www.bluetooth.org/errata/errata_view.cfm?errata_id=23025" xr:uid="{57FFA08B-D1B6-40BD-AF55-8E5CB1622536}"/>
    <hyperlink ref="A45" r:id="rId23" display="https://www.bluetooth.org/errata/errata_view.cfm?errata_id=24038" xr:uid="{AA742331-1466-40DC-9A96-94CE3763A53C}"/>
    <hyperlink ref="A47" r:id="rId24" display="https://www.bluetooth.org/errata/errata_view.cfm?errata_id=24567" xr:uid="{FD0B9DD4-4648-4DC0-B9DC-DF7F95D3A314}"/>
    <hyperlink ref="H32" r:id="rId25" display="https://bluetooth.atlassian.net/browse/ES-22920" xr:uid="{82943131-E847-477E-BCD3-7E4371337594}"/>
    <hyperlink ref="H35" r:id="rId26" display="https://bluetooth.atlassian.net/browse/ES-22921" xr:uid="{B9BF9196-2AA0-4F09-99C3-D2653A85467F}"/>
    <hyperlink ref="H40" r:id="rId27" display="https://bluetooth.atlassian.net/browse/ES-24322" xr:uid="{21C8F3F3-1C08-45BA-8F02-165B29C548C3}"/>
    <hyperlink ref="H48" r:id="rId28" display="https://bluetooth.atlassian.net/browse/ES-24995" xr:uid="{C0868AC1-A8FE-40D8-8D83-32260492315F}"/>
  </hyperlinks>
  <pageMargins left="0.7" right="0.7" top="0.75" bottom="0.75" header="0.3" footer="0.3"/>
  <pageSetup paperSize="9" orientation="portrait" horizontalDpi="300" verticalDpi="300" r:id="rId2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0F10B-680F-4DDD-A332-4F767C2EE2AC}">
  <sheetPr>
    <tabColor rgb="FFB1A0C7"/>
    <outlinePr summaryBelow="0" summaryRight="0"/>
  </sheetPr>
  <dimension ref="A1:J26"/>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16" t="s">
        <v>218</v>
      </c>
      <c r="B1" s="129"/>
      <c r="C1" s="129"/>
      <c r="D1" s="130"/>
      <c r="E1" s="130"/>
      <c r="F1" s="131"/>
      <c r="G1" s="131"/>
      <c r="H1" s="131"/>
      <c r="I1" s="131"/>
      <c r="J1" s="26"/>
    </row>
    <row r="2" spans="1:10" ht="66.75" customHeight="1" thickBot="1">
      <c r="A2" s="187" t="s">
        <v>207</v>
      </c>
      <c r="B2" s="188"/>
      <c r="C2" s="188"/>
      <c r="D2" s="188"/>
      <c r="E2" s="188"/>
      <c r="F2" s="188"/>
      <c r="G2" s="188"/>
      <c r="H2" s="188"/>
      <c r="I2" s="189"/>
      <c r="J2" s="26"/>
    </row>
    <row r="3" spans="1:10" ht="51.95" customHeight="1" thickBot="1">
      <c r="A3" s="187" t="s">
        <v>22</v>
      </c>
      <c r="B3" s="188"/>
      <c r="C3" s="188"/>
      <c r="D3" s="188"/>
      <c r="E3" s="188"/>
      <c r="F3" s="188"/>
      <c r="G3" s="188"/>
      <c r="H3" s="188"/>
      <c r="I3" s="189"/>
      <c r="J3" s="26"/>
    </row>
    <row r="4" spans="1:10" s="4" customFormat="1" ht="27.95" customHeight="1" thickBot="1">
      <c r="A4" s="132" t="s">
        <v>7</v>
      </c>
      <c r="B4" s="133" t="s">
        <v>5</v>
      </c>
      <c r="C4" s="132" t="s">
        <v>23</v>
      </c>
      <c r="D4" s="190" t="s">
        <v>8</v>
      </c>
      <c r="E4" s="191"/>
      <c r="F4" s="192"/>
      <c r="G4" s="190" t="s">
        <v>17</v>
      </c>
      <c r="H4" s="191"/>
      <c r="I4" s="192"/>
      <c r="J4" s="26"/>
    </row>
    <row r="5" spans="1:10" s="34" customFormat="1" ht="13.5" customHeight="1" thickBot="1">
      <c r="A5" s="172" t="s">
        <v>219</v>
      </c>
      <c r="B5" s="173">
        <v>45699</v>
      </c>
      <c r="C5" s="172" t="s">
        <v>9</v>
      </c>
      <c r="D5" s="193" t="s">
        <v>220</v>
      </c>
      <c r="E5" s="194"/>
      <c r="F5" s="195"/>
      <c r="G5" s="196" t="s">
        <v>16</v>
      </c>
      <c r="H5" s="197"/>
      <c r="I5" s="198"/>
      <c r="J5" s="26"/>
    </row>
    <row r="6" spans="1:10" s="4" customFormat="1" ht="15">
      <c r="A6" s="134"/>
      <c r="B6" s="134"/>
      <c r="C6" s="134"/>
      <c r="D6" s="134"/>
      <c r="E6" s="134"/>
      <c r="F6" s="134"/>
      <c r="G6" s="134"/>
      <c r="H6" s="134"/>
      <c r="I6" s="134"/>
      <c r="J6" s="26"/>
    </row>
    <row r="7" spans="1:10" ht="21" customHeight="1">
      <c r="A7" s="186" t="s">
        <v>6</v>
      </c>
      <c r="B7" s="186"/>
      <c r="C7" s="135"/>
      <c r="D7" s="130"/>
      <c r="E7" s="130"/>
      <c r="F7" s="131"/>
      <c r="G7" s="131"/>
      <c r="H7" s="131"/>
      <c r="I7" s="131"/>
      <c r="J7" s="26"/>
    </row>
    <row r="8" spans="1:10" ht="21" customHeight="1" thickBot="1">
      <c r="A8" s="129" t="s">
        <v>132</v>
      </c>
      <c r="B8" s="136"/>
      <c r="C8" s="135"/>
      <c r="D8" s="129"/>
      <c r="E8" s="130"/>
      <c r="F8" s="131"/>
      <c r="G8" s="131"/>
      <c r="H8" s="131"/>
      <c r="I8" s="131"/>
      <c r="J8" s="26"/>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HYPERLINK("https://bluetooth.atlassian.net/browse/ES-19297",19297)</f>
        <v>19297</v>
      </c>
      <c r="B10" s="119" t="s">
        <v>221</v>
      </c>
      <c r="C10" s="117">
        <v>1</v>
      </c>
      <c r="D10" s="110" t="s">
        <v>127</v>
      </c>
      <c r="E10" s="109" t="s">
        <v>4</v>
      </c>
      <c r="F10" s="80" t="s">
        <v>1</v>
      </c>
      <c r="G10" s="87"/>
      <c r="H10" s="139"/>
      <c r="I10" s="140"/>
      <c r="J10" s="36"/>
    </row>
    <row r="11" spans="1:10" s="2" customFormat="1" ht="39" thickBot="1">
      <c r="A11" s="30">
        <f>HYPERLINK("https://bluetooth.atlassian.net/browse/ES-22576",22576)</f>
        <v>22576</v>
      </c>
      <c r="B11" s="120" t="s">
        <v>221</v>
      </c>
      <c r="C11" s="118">
        <v>1</v>
      </c>
      <c r="D11" s="111" t="s">
        <v>222</v>
      </c>
      <c r="E11" s="112" t="s">
        <v>83</v>
      </c>
      <c r="F11" s="98" t="s">
        <v>79</v>
      </c>
      <c r="G11" s="113">
        <v>2</v>
      </c>
      <c r="H11" s="33">
        <f>HYPERLINK("https://bluetooth.atlassian.net/browse/ES-24251",24251)</f>
        <v>24251</v>
      </c>
      <c r="I11" s="98" t="s">
        <v>24</v>
      </c>
      <c r="J11" s="31" t="s">
        <v>224</v>
      </c>
    </row>
    <row r="12" spans="1:10" s="2" customFormat="1" ht="28.5" customHeight="1" thickBot="1">
      <c r="A12" s="29">
        <f>HYPERLINK("https://bluetooth.atlassian.net/browse/ES-237739",23773)</f>
        <v>23773</v>
      </c>
      <c r="B12" s="119" t="s">
        <v>221</v>
      </c>
      <c r="C12" s="117">
        <v>1</v>
      </c>
      <c r="D12" s="108" t="s">
        <v>107</v>
      </c>
      <c r="E12" s="109" t="s">
        <v>4</v>
      </c>
      <c r="F12" s="114" t="s">
        <v>1</v>
      </c>
      <c r="G12" s="55"/>
      <c r="H12" s="147"/>
      <c r="I12" s="140"/>
      <c r="J12" s="36"/>
    </row>
    <row r="13" spans="1:10" s="2" customFormat="1" ht="27" customHeight="1" thickBot="1">
      <c r="A13" s="30">
        <f>HYPERLINK("https://bluetooth.atlassian.net/browse/ES-26529",26529)</f>
        <v>26529</v>
      </c>
      <c r="B13" s="120" t="s">
        <v>221</v>
      </c>
      <c r="C13" s="118">
        <v>1</v>
      </c>
      <c r="D13" s="111" t="s">
        <v>223</v>
      </c>
      <c r="E13" s="112" t="s">
        <v>86</v>
      </c>
      <c r="F13" s="115" t="s">
        <v>1</v>
      </c>
      <c r="G13" s="92"/>
      <c r="H13" s="148"/>
      <c r="I13" s="145"/>
      <c r="J13" s="35"/>
    </row>
    <row r="16" spans="1:10" ht="15.75" customHeight="1">
      <c r="F16"/>
    </row>
    <row r="17" spans="1:9" ht="15.75" customHeight="1">
      <c r="F17"/>
    </row>
    <row r="18" spans="1:9" ht="15.75" customHeight="1">
      <c r="F18"/>
    </row>
    <row r="19" spans="1:9" ht="15.75" customHeight="1">
      <c r="F19"/>
    </row>
    <row r="20" spans="1:9" ht="15.75" customHeight="1">
      <c r="F20"/>
    </row>
    <row r="21" spans="1:9" ht="15.75" customHeight="1">
      <c r="F21"/>
    </row>
    <row r="23" spans="1:9" ht="15.75" customHeight="1">
      <c r="A23" s="41"/>
      <c r="B23" s="42"/>
      <c r="C23" s="42"/>
      <c r="D23" s="42"/>
      <c r="F23" s="42"/>
      <c r="G23" s="42"/>
      <c r="H23" s="42"/>
      <c r="I23" s="42"/>
    </row>
    <row r="24" spans="1:9" ht="15.75" customHeight="1">
      <c r="A24" s="41"/>
      <c r="B24" s="42"/>
      <c r="C24" s="42"/>
      <c r="D24" s="42"/>
      <c r="F24" s="42"/>
      <c r="G24" s="42"/>
      <c r="H24" s="42"/>
      <c r="I24" s="42"/>
    </row>
    <row r="25" spans="1:9" ht="15.75" customHeight="1">
      <c r="A25" s="41"/>
      <c r="B25" s="42"/>
      <c r="C25" s="42"/>
      <c r="D25" s="42"/>
      <c r="F25" s="42"/>
      <c r="G25" s="42"/>
      <c r="H25" s="42"/>
      <c r="I25" s="42"/>
    </row>
    <row r="26" spans="1:9" ht="15.75" customHeight="1">
      <c r="A26" s="41"/>
      <c r="B26" s="42"/>
      <c r="C26" s="42"/>
      <c r="D26" s="42"/>
      <c r="F26" s="42"/>
      <c r="G26" s="42"/>
      <c r="H26" s="42"/>
      <c r="I26" s="42"/>
    </row>
  </sheetData>
  <mergeCells count="7">
    <mergeCell ref="A7:B7"/>
    <mergeCell ref="A2:I2"/>
    <mergeCell ref="A3:I3"/>
    <mergeCell ref="D4:F4"/>
    <mergeCell ref="G4:I4"/>
    <mergeCell ref="D5:F5"/>
    <mergeCell ref="G5:I5"/>
  </mergeCells>
  <conditionalFormatting sqref="F10:F13">
    <cfRule type="cellIs" dxfId="12" priority="1" operator="greaterThan">
      <formula>"Yes"</formula>
    </cfRule>
  </conditionalFormatting>
  <dataValidations count="6">
    <dataValidation type="list" allowBlank="1" sqref="I10:I13" xr:uid="{03764E21-B175-4D62-AB70-1E15C552A6D9}">
      <formula1>"Open,Approved,Rejected,Released"</formula1>
    </dataValidation>
    <dataValidation type="list" allowBlank="1" showInputMessage="1" showErrorMessage="1" sqref="G10:G13" xr:uid="{B6B1421A-1634-4BE7-A153-9DAE8341F1CF}">
      <formula1>"1,2,3,4,Not Categorized"</formula1>
    </dataValidation>
    <dataValidation type="list" allowBlank="1" showInputMessage="1" showErrorMessage="1" sqref="E10:E13" xr:uid="{C46F0649-18C1-4B56-B14D-EA5A90B9B212}">
      <formula1>"Editorial,1/Technical Low,2/Technical Medium,3/Technical High,4/Technical Critical,Not Categorized"</formula1>
    </dataValidation>
    <dataValidation type="list" allowBlank="1" sqref="F10:F13" xr:uid="{94DEFC66-397E-4045-89EC-54A48D1CDCE1}">
      <formula1>"No,Yes - doesn't need to wait for erratum,Yes - tied to spec change,Not Reviewed"</formula1>
    </dataValidation>
    <dataValidation type="list" allowBlank="1" sqref="F9:I9" xr:uid="{2716D986-19DA-48E3-8520-3699B321D552}">
      <formula1>#REF!</formula1>
    </dataValidation>
    <dataValidation allowBlank="1" sqref="H10:H13" xr:uid="{CAE11677-8B68-45E2-B4F5-BDF69C524C71}"/>
  </dataValidations>
  <hyperlinks>
    <hyperlink ref="A12" r:id="rId1" display="https://www.bluetooth.org/errata/errata_view.cfm?errata_id=894" xr:uid="{9585C7C6-0BC8-43F2-AB16-2761F101D43A}"/>
  </hyperlinks>
  <pageMargins left="0.7" right="0.7" top="0.75" bottom="0.75" header="0.3" footer="0.3"/>
  <pageSetup paperSize="9" orientation="portrait" horizontalDpi="300" verticalDpi="3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04CDE-C4A4-411F-97BC-7C3CA32B590A}">
  <sheetPr>
    <tabColor rgb="FFB1A0C7"/>
    <outlinePr summaryBelow="0" summaryRight="0"/>
  </sheetPr>
  <dimension ref="A1:J30"/>
  <sheetViews>
    <sheetView topLeftCell="A26" zoomScaleNormal="100" workbookViewId="0">
      <selection activeCell="A26" sqref="A26"/>
    </sheetView>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16" t="s">
        <v>227</v>
      </c>
      <c r="B1" s="129"/>
      <c r="C1" s="129"/>
      <c r="D1" s="130"/>
      <c r="E1" s="130"/>
      <c r="F1" s="131"/>
      <c r="G1" s="131"/>
      <c r="H1" s="131"/>
      <c r="I1" s="131"/>
      <c r="J1" s="26"/>
    </row>
    <row r="2" spans="1:10" ht="66.75" customHeight="1" thickBot="1">
      <c r="A2" s="187" t="s">
        <v>207</v>
      </c>
      <c r="B2" s="188"/>
      <c r="C2" s="188"/>
      <c r="D2" s="188"/>
      <c r="E2" s="188"/>
      <c r="F2" s="188"/>
      <c r="G2" s="188"/>
      <c r="H2" s="188"/>
      <c r="I2" s="189"/>
      <c r="J2" s="26"/>
    </row>
    <row r="3" spans="1:10" ht="51.95" customHeight="1" thickBot="1">
      <c r="A3" s="187" t="s">
        <v>22</v>
      </c>
      <c r="B3" s="188"/>
      <c r="C3" s="188"/>
      <c r="D3" s="188"/>
      <c r="E3" s="188"/>
      <c r="F3" s="188"/>
      <c r="G3" s="188"/>
      <c r="H3" s="188"/>
      <c r="I3" s="189"/>
      <c r="J3" s="26"/>
    </row>
    <row r="4" spans="1:10" s="4" customFormat="1" ht="27.95" customHeight="1" thickBot="1">
      <c r="A4" s="132" t="s">
        <v>7</v>
      </c>
      <c r="B4" s="133" t="s">
        <v>5</v>
      </c>
      <c r="C4" s="132" t="s">
        <v>23</v>
      </c>
      <c r="D4" s="190" t="s">
        <v>8</v>
      </c>
      <c r="E4" s="191"/>
      <c r="F4" s="192"/>
      <c r="G4" s="190" t="s">
        <v>17</v>
      </c>
      <c r="H4" s="191"/>
      <c r="I4" s="192"/>
      <c r="J4" s="26"/>
    </row>
    <row r="5" spans="1:10" s="34" customFormat="1" ht="44.1" customHeight="1" thickBot="1">
      <c r="A5" s="76" t="s">
        <v>226</v>
      </c>
      <c r="B5" s="77">
        <v>45699</v>
      </c>
      <c r="C5" s="76" t="s">
        <v>9</v>
      </c>
      <c r="D5" s="196" t="s">
        <v>225</v>
      </c>
      <c r="E5" s="197"/>
      <c r="F5" s="198"/>
      <c r="G5" s="196" t="s">
        <v>16</v>
      </c>
      <c r="H5" s="197"/>
      <c r="I5" s="198"/>
      <c r="J5" s="26"/>
    </row>
    <row r="6" spans="1:10" s="4" customFormat="1" ht="15">
      <c r="A6" s="134"/>
      <c r="B6" s="134"/>
      <c r="C6" s="134"/>
      <c r="D6" s="134"/>
      <c r="E6" s="134"/>
      <c r="F6" s="134"/>
      <c r="G6" s="134"/>
      <c r="H6" s="134"/>
      <c r="I6" s="134"/>
      <c r="J6" s="26"/>
    </row>
    <row r="7" spans="1:10" ht="21" customHeight="1">
      <c r="A7" s="186" t="s">
        <v>6</v>
      </c>
      <c r="B7" s="186"/>
      <c r="C7" s="135"/>
      <c r="D7" s="130"/>
      <c r="E7" s="130"/>
      <c r="F7" s="131"/>
      <c r="G7" s="131"/>
      <c r="H7" s="131"/>
      <c r="I7" s="131"/>
      <c r="J7" s="26"/>
    </row>
    <row r="8" spans="1:10" ht="21" customHeight="1" thickBot="1">
      <c r="A8" s="129" t="s">
        <v>132</v>
      </c>
      <c r="B8" s="136"/>
      <c r="C8" s="135"/>
      <c r="D8" s="129"/>
      <c r="E8" s="130"/>
      <c r="F8" s="131"/>
      <c r="G8" s="131"/>
      <c r="H8" s="131"/>
      <c r="I8" s="131"/>
      <c r="J8" s="26"/>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HYPERLINK("https://bluetooth.atlassian.net/browse/ES-18858",18689)</f>
        <v>18689</v>
      </c>
      <c r="B10" s="119" t="s">
        <v>228</v>
      </c>
      <c r="C10" s="117">
        <v>1</v>
      </c>
      <c r="D10" s="110" t="s">
        <v>229</v>
      </c>
      <c r="E10" s="109" t="s">
        <v>4</v>
      </c>
      <c r="F10" s="80" t="s">
        <v>1</v>
      </c>
      <c r="G10" s="87"/>
      <c r="H10" s="139"/>
      <c r="I10" s="140"/>
      <c r="J10" s="36"/>
    </row>
    <row r="11" spans="1:10" s="2" customFormat="1" ht="51.75" thickBot="1">
      <c r="A11" s="30">
        <f>HYPERLINK("https://bluetooth.atlassian.net/browse/ES-18922",18922)</f>
        <v>18922</v>
      </c>
      <c r="B11" s="120" t="s">
        <v>228</v>
      </c>
      <c r="C11" s="118">
        <v>1</v>
      </c>
      <c r="D11" s="111" t="s">
        <v>230</v>
      </c>
      <c r="E11" s="112" t="s">
        <v>83</v>
      </c>
      <c r="F11" s="98" t="s">
        <v>79</v>
      </c>
      <c r="G11" s="113">
        <v>1</v>
      </c>
      <c r="H11" s="33">
        <f>HYPERLINK("https://bluetooth.atlassian.net/browse/ES-24857",24857)</f>
        <v>24857</v>
      </c>
      <c r="I11" s="98" t="s">
        <v>24</v>
      </c>
      <c r="J11" s="31" t="s">
        <v>251</v>
      </c>
    </row>
    <row r="12" spans="1:10" s="2" customFormat="1" ht="28.5" customHeight="1" thickBot="1">
      <c r="A12" s="29">
        <f>HYPERLINK("https://bluetooth.atlassian.net/browse/ES-18934",18934)</f>
        <v>18934</v>
      </c>
      <c r="B12" s="119" t="s">
        <v>228</v>
      </c>
      <c r="C12" s="117">
        <v>1</v>
      </c>
      <c r="D12" s="108" t="s">
        <v>231</v>
      </c>
      <c r="E12" s="109" t="s">
        <v>4</v>
      </c>
      <c r="F12" s="114" t="s">
        <v>1</v>
      </c>
      <c r="G12" s="55"/>
      <c r="H12" s="147"/>
      <c r="I12" s="140"/>
      <c r="J12" s="36"/>
    </row>
    <row r="13" spans="1:10" s="2" customFormat="1" ht="27" customHeight="1" thickBot="1">
      <c r="A13" s="30">
        <f>HYPERLINK("https://bluetooth.atlassian.net/browse/ES-18935",18935)</f>
        <v>18935</v>
      </c>
      <c r="B13" s="120" t="s">
        <v>228</v>
      </c>
      <c r="C13" s="118">
        <v>1</v>
      </c>
      <c r="D13" s="111" t="s">
        <v>232</v>
      </c>
      <c r="E13" s="112" t="s">
        <v>4</v>
      </c>
      <c r="F13" s="115" t="s">
        <v>1</v>
      </c>
      <c r="G13" s="92"/>
      <c r="H13" s="148"/>
      <c r="I13" s="145"/>
      <c r="J13" s="35"/>
    </row>
    <row r="14" spans="1:10" s="2" customFormat="1" ht="28.5" customHeight="1" thickBot="1">
      <c r="A14" s="29">
        <f>HYPERLINK("https://bluetooth.atlassian.net/browse/ES-18936",18936)</f>
        <v>18936</v>
      </c>
      <c r="B14" s="119" t="s">
        <v>228</v>
      </c>
      <c r="C14" s="117">
        <v>1</v>
      </c>
      <c r="D14" s="108" t="s">
        <v>233</v>
      </c>
      <c r="E14" s="109" t="s">
        <v>4</v>
      </c>
      <c r="F14" s="114" t="s">
        <v>1</v>
      </c>
      <c r="G14" s="55"/>
      <c r="H14" s="147"/>
      <c r="I14" s="140"/>
      <c r="J14" s="36"/>
    </row>
    <row r="15" spans="1:10" s="2" customFormat="1" ht="27" customHeight="1" thickBot="1">
      <c r="A15" s="30">
        <f>HYPERLINK("https://bluetooth.atlassian.net/browse/ES-18937",18937)</f>
        <v>18937</v>
      </c>
      <c r="B15" s="120" t="s">
        <v>228</v>
      </c>
      <c r="C15" s="118">
        <v>1</v>
      </c>
      <c r="D15" s="111" t="s">
        <v>234</v>
      </c>
      <c r="E15" s="112" t="s">
        <v>4</v>
      </c>
      <c r="F15" s="115" t="s">
        <v>1</v>
      </c>
      <c r="G15" s="92"/>
      <c r="H15" s="148"/>
      <c r="I15" s="145"/>
      <c r="J15" s="35"/>
    </row>
    <row r="16" spans="1:10" s="2" customFormat="1" ht="26.25" thickBot="1">
      <c r="A16" s="29">
        <f>HYPERLINK("https://bluetooth.atlassian.net/browse/ES-19214",19214)</f>
        <v>19214</v>
      </c>
      <c r="B16" s="119" t="s">
        <v>228</v>
      </c>
      <c r="C16" s="117">
        <v>1</v>
      </c>
      <c r="D16" s="110" t="s">
        <v>235</v>
      </c>
      <c r="E16" s="109" t="s">
        <v>85</v>
      </c>
      <c r="F16" s="80" t="s">
        <v>1</v>
      </c>
      <c r="G16" s="87"/>
      <c r="H16" s="139"/>
      <c r="I16" s="140"/>
      <c r="J16" s="36"/>
    </row>
    <row r="17" spans="1:10" s="2" customFormat="1" ht="27.95" customHeight="1" thickBot="1">
      <c r="A17" s="30">
        <f>HYPERLINK("https://bluetooth.atlassian.net/browse/ES-19271",19271)</f>
        <v>19271</v>
      </c>
      <c r="B17" s="120" t="s">
        <v>228</v>
      </c>
      <c r="C17" s="118">
        <v>1</v>
      </c>
      <c r="D17" s="111" t="s">
        <v>236</v>
      </c>
      <c r="E17" s="112" t="s">
        <v>4</v>
      </c>
      <c r="F17" s="98" t="s">
        <v>1</v>
      </c>
      <c r="G17" s="91"/>
      <c r="H17" s="144"/>
      <c r="I17" s="145"/>
      <c r="J17" s="35"/>
    </row>
    <row r="18" spans="1:10" s="2" customFormat="1" ht="28.5" customHeight="1" thickBot="1">
      <c r="A18" s="29">
        <f>HYPERLINK("https://bluetooth.atlassian.net/browse/ES-19298",19298)</f>
        <v>19298</v>
      </c>
      <c r="B18" s="119" t="s">
        <v>228</v>
      </c>
      <c r="C18" s="117">
        <v>1</v>
      </c>
      <c r="D18" s="108" t="s">
        <v>97</v>
      </c>
      <c r="E18" s="109" t="s">
        <v>4</v>
      </c>
      <c r="F18" s="114" t="s">
        <v>1</v>
      </c>
      <c r="G18" s="55"/>
      <c r="H18" s="147"/>
      <c r="I18" s="140"/>
      <c r="J18" s="36"/>
    </row>
    <row r="19" spans="1:10" s="2" customFormat="1" ht="27" customHeight="1" thickBot="1">
      <c r="A19" s="30">
        <f>HYPERLINK("https://bluetooth.atlassian.net/browse/ES-23221",23221)</f>
        <v>23221</v>
      </c>
      <c r="B19" s="120" t="s">
        <v>228</v>
      </c>
      <c r="C19" s="118">
        <v>1</v>
      </c>
      <c r="D19" s="111" t="s">
        <v>237</v>
      </c>
      <c r="E19" s="112" t="s">
        <v>85</v>
      </c>
      <c r="F19" s="115" t="s">
        <v>1</v>
      </c>
      <c r="G19" s="92"/>
      <c r="H19" s="148"/>
      <c r="I19" s="145"/>
      <c r="J19" s="35"/>
    </row>
    <row r="20" spans="1:10" s="2" customFormat="1" ht="28.5" customHeight="1" thickBot="1">
      <c r="A20" s="29">
        <f>HYPERLINK("https://bluetooth.atlassian.net/browse/ES-23780",23780)</f>
        <v>23780</v>
      </c>
      <c r="B20" s="119" t="s">
        <v>228</v>
      </c>
      <c r="C20" s="117">
        <v>1</v>
      </c>
      <c r="D20" s="108" t="s">
        <v>107</v>
      </c>
      <c r="E20" s="109" t="s">
        <v>4</v>
      </c>
      <c r="F20" s="114" t="s">
        <v>1</v>
      </c>
      <c r="G20" s="55"/>
      <c r="H20" s="147"/>
      <c r="I20" s="140"/>
      <c r="J20" s="36"/>
    </row>
    <row r="21" spans="1:10" s="2" customFormat="1" ht="27" customHeight="1" thickBot="1">
      <c r="A21" s="30">
        <f>HYPERLINK("https://bluetooth.atlassian.net/browse/ES-23964",23964)</f>
        <v>23964</v>
      </c>
      <c r="B21" s="120" t="s">
        <v>228</v>
      </c>
      <c r="C21" s="118">
        <v>1</v>
      </c>
      <c r="D21" s="111" t="s">
        <v>238</v>
      </c>
      <c r="E21" s="112" t="s">
        <v>4</v>
      </c>
      <c r="F21" s="115" t="s">
        <v>1</v>
      </c>
      <c r="G21" s="92"/>
      <c r="H21" s="148"/>
      <c r="I21" s="145"/>
      <c r="J21" s="35"/>
    </row>
    <row r="22" spans="1:10" s="2" customFormat="1" ht="26.25" thickBot="1">
      <c r="A22" s="29">
        <f>HYPERLINK("https://bluetooth.atlassian.net/browse/ES-24511",24511)</f>
        <v>24511</v>
      </c>
      <c r="B22" s="119" t="s">
        <v>228</v>
      </c>
      <c r="C22" s="117">
        <v>1</v>
      </c>
      <c r="D22" s="110" t="s">
        <v>239</v>
      </c>
      <c r="E22" s="109" t="s">
        <v>83</v>
      </c>
      <c r="F22" s="80" t="s">
        <v>1</v>
      </c>
      <c r="G22" s="87"/>
      <c r="H22" s="139"/>
      <c r="I22" s="140"/>
      <c r="J22" s="36"/>
    </row>
    <row r="23" spans="1:10" s="2" customFormat="1" ht="39" thickBot="1">
      <c r="A23" s="30">
        <f>HYPERLINK("https://bluetooth.atlassian.net/browse/ES-24712",24712)</f>
        <v>24712</v>
      </c>
      <c r="B23" s="120" t="s">
        <v>228</v>
      </c>
      <c r="C23" s="118">
        <v>1</v>
      </c>
      <c r="D23" s="111" t="s">
        <v>240</v>
      </c>
      <c r="E23" s="112" t="s">
        <v>4</v>
      </c>
      <c r="F23" s="98" t="s">
        <v>82</v>
      </c>
      <c r="G23" s="113">
        <v>4</v>
      </c>
      <c r="H23" s="174">
        <f>HYPERLINK("https://bluetooth.atlassian.net/browse/ES-26637",26637)</f>
        <v>26637</v>
      </c>
      <c r="I23" s="98" t="s">
        <v>24</v>
      </c>
      <c r="J23" s="31" t="s">
        <v>250</v>
      </c>
    </row>
    <row r="24" spans="1:10" s="2" customFormat="1" ht="28.5" customHeight="1" thickBot="1">
      <c r="A24" s="29">
        <f>HYPERLINK("https://bluetooth.atlassian.net/browse/ES-25713",24713)</f>
        <v>24713</v>
      </c>
      <c r="B24" s="119" t="s">
        <v>228</v>
      </c>
      <c r="C24" s="117">
        <v>1</v>
      </c>
      <c r="D24" s="108" t="s">
        <v>241</v>
      </c>
      <c r="E24" s="109" t="s">
        <v>85</v>
      </c>
      <c r="F24" s="114" t="s">
        <v>82</v>
      </c>
      <c r="G24" s="110">
        <v>4</v>
      </c>
      <c r="H24" s="122">
        <f>HYPERLINK("https://bluetooth.atlassian.net/browse/ES-26636",26636)</f>
        <v>26636</v>
      </c>
      <c r="I24" s="114" t="s">
        <v>24</v>
      </c>
      <c r="J24" s="32" t="s">
        <v>249</v>
      </c>
    </row>
    <row r="25" spans="1:10" s="2" customFormat="1" ht="27" customHeight="1" thickBot="1">
      <c r="A25" s="30">
        <f>HYPERLINK("https://bluetooth.atlassian.net/browse/ES-24906",24906)</f>
        <v>24906</v>
      </c>
      <c r="B25" s="120" t="s">
        <v>228</v>
      </c>
      <c r="C25" s="118">
        <v>1</v>
      </c>
      <c r="D25" s="111" t="s">
        <v>242</v>
      </c>
      <c r="E25" s="112" t="s">
        <v>4</v>
      </c>
      <c r="F25" s="115" t="s">
        <v>1</v>
      </c>
      <c r="G25" s="92"/>
      <c r="H25" s="148"/>
      <c r="I25" s="145"/>
      <c r="J25" s="35"/>
    </row>
    <row r="26" spans="1:10" s="2" customFormat="1" ht="28.5" customHeight="1" thickBot="1">
      <c r="A26" s="29">
        <f>HYPERLINK("https://bluetooth.atlassian.net/browse/ES-25020",25020)</f>
        <v>25020</v>
      </c>
      <c r="B26" s="119" t="s">
        <v>228</v>
      </c>
      <c r="C26" s="117">
        <v>1</v>
      </c>
      <c r="D26" s="108" t="s">
        <v>243</v>
      </c>
      <c r="E26" s="109" t="s">
        <v>85</v>
      </c>
      <c r="F26" s="114" t="s">
        <v>1</v>
      </c>
      <c r="G26" s="55"/>
      <c r="H26" s="147"/>
      <c r="I26" s="140"/>
      <c r="J26" s="36"/>
    </row>
    <row r="27" spans="1:10" s="2" customFormat="1" ht="39" thickBot="1">
      <c r="A27" s="30">
        <f>HYPERLINK("https://bluetooth.atlassian.net/browse/ES-25591",25591)</f>
        <v>25591</v>
      </c>
      <c r="B27" s="120" t="s">
        <v>228</v>
      </c>
      <c r="C27" s="118">
        <v>1</v>
      </c>
      <c r="D27" s="111" t="s">
        <v>244</v>
      </c>
      <c r="E27" s="112" t="s">
        <v>85</v>
      </c>
      <c r="F27" s="115" t="s">
        <v>82</v>
      </c>
      <c r="G27" s="175">
        <v>3</v>
      </c>
      <c r="H27" s="174">
        <f>HYPERLINK("https://bluetooth.atlassian.net/browse/ES-26574",26574)</f>
        <v>26574</v>
      </c>
      <c r="I27" s="98" t="s">
        <v>24</v>
      </c>
      <c r="J27" s="31" t="s">
        <v>248</v>
      </c>
    </row>
    <row r="28" spans="1:10" s="2" customFormat="1" ht="28.5" customHeight="1" thickBot="1">
      <c r="A28" s="29">
        <f>HYPERLINK("https://bluetooth.atlassian.net/browse/ES-26530",26530)</f>
        <v>26530</v>
      </c>
      <c r="B28" s="119" t="s">
        <v>228</v>
      </c>
      <c r="C28" s="117">
        <v>1</v>
      </c>
      <c r="D28" s="108" t="s">
        <v>245</v>
      </c>
      <c r="E28" s="109" t="s">
        <v>4</v>
      </c>
      <c r="F28" s="114" t="s">
        <v>1</v>
      </c>
      <c r="G28" s="55"/>
      <c r="H28" s="147"/>
      <c r="I28" s="140"/>
      <c r="J28" s="36"/>
    </row>
    <row r="29" spans="1:10" s="2" customFormat="1" ht="27" customHeight="1" thickBot="1">
      <c r="A29" s="30">
        <f>HYPERLINK("https://bluetooth.atlassian.net/browse/ES-26552",26552)</f>
        <v>26552</v>
      </c>
      <c r="B29" s="120" t="s">
        <v>228</v>
      </c>
      <c r="C29" s="118">
        <v>1</v>
      </c>
      <c r="D29" s="111" t="s">
        <v>246</v>
      </c>
      <c r="E29" s="112" t="s">
        <v>4</v>
      </c>
      <c r="F29" s="115" t="s">
        <v>1</v>
      </c>
      <c r="G29" s="92"/>
      <c r="H29" s="148"/>
      <c r="I29" s="145"/>
      <c r="J29" s="35"/>
    </row>
    <row r="30" spans="1:10" s="2" customFormat="1" ht="28.5" customHeight="1" thickBot="1">
      <c r="A30" s="29">
        <f>HYPERLINK("https://bluetooth.atlassian.net/browse/ES-26553",26553)</f>
        <v>26553</v>
      </c>
      <c r="B30" s="119" t="s">
        <v>228</v>
      </c>
      <c r="C30" s="117">
        <v>1</v>
      </c>
      <c r="D30" s="108" t="s">
        <v>247</v>
      </c>
      <c r="E30" s="109" t="s">
        <v>4</v>
      </c>
      <c r="F30" s="114" t="s">
        <v>1</v>
      </c>
      <c r="G30" s="55"/>
      <c r="H30" s="147"/>
      <c r="I30" s="140"/>
      <c r="J30" s="36"/>
    </row>
  </sheetData>
  <mergeCells count="7">
    <mergeCell ref="A7:B7"/>
    <mergeCell ref="A2:I2"/>
    <mergeCell ref="A3:I3"/>
    <mergeCell ref="D4:F4"/>
    <mergeCell ref="G4:I4"/>
    <mergeCell ref="D5:F5"/>
    <mergeCell ref="G5:I5"/>
  </mergeCells>
  <conditionalFormatting sqref="F10:F30">
    <cfRule type="cellIs" dxfId="11" priority="1" operator="greaterThan">
      <formula>"Yes"</formula>
    </cfRule>
  </conditionalFormatting>
  <dataValidations count="6">
    <dataValidation allowBlank="1" sqref="H10:H30" xr:uid="{2FDCE2FB-57CD-4A3D-AACB-632086DA2D33}"/>
    <dataValidation type="list" allowBlank="1" sqref="F9:I9" xr:uid="{35F89554-9E37-4DF4-B579-E8261676B1AB}">
      <formula1>#REF!</formula1>
    </dataValidation>
    <dataValidation type="list" allowBlank="1" sqref="F10:F30" xr:uid="{4D95675B-26BF-4089-9EA9-0662950DDF24}">
      <formula1>"No,Yes - doesn't need to wait for erratum,Yes - tied to spec change,Not Reviewed"</formula1>
    </dataValidation>
    <dataValidation type="list" allowBlank="1" showInputMessage="1" showErrorMessage="1" sqref="E10:E30" xr:uid="{41E28B08-9558-416B-9D41-9A623CC46929}">
      <formula1>"Editorial,1/Technical Low,2/Technical Medium,3/Technical High,4/Technical Critical,Not Categorized"</formula1>
    </dataValidation>
    <dataValidation type="list" allowBlank="1" showInputMessage="1" showErrorMessage="1" sqref="G10:G30" xr:uid="{1F5B7D95-509B-435C-8F0B-7C7D558A665B}">
      <formula1>"1,2,3,4,Not Categorized"</formula1>
    </dataValidation>
    <dataValidation type="list" allowBlank="1" sqref="I10:I30" xr:uid="{24272E9A-6C23-4831-94E8-BBB5560660B2}">
      <formula1>"Open,Approved,Rejected,Released"</formula1>
    </dataValidation>
  </dataValidations>
  <hyperlinks>
    <hyperlink ref="A12" r:id="rId1" display="https://www.bluetooth.org/errata/errata_view.cfm?errata_id=894" xr:uid="{9D521782-5855-4B46-8C4F-0DD54E55CCC8}"/>
    <hyperlink ref="A14" r:id="rId2" display="https://www.bluetooth.org/errata/errata_view.cfm?errata_id=894" xr:uid="{B8984D2C-5FF0-45F1-B2C3-FEA7A6FC155D}"/>
    <hyperlink ref="A18" r:id="rId3" display="https://www.bluetooth.org/errata/errata_view.cfm?errata_id=894" xr:uid="{C99DE35F-8251-4ED8-86EC-FFEF80E35117}"/>
    <hyperlink ref="A20" r:id="rId4" display="https://www.bluetooth.org/errata/errata_view.cfm?errata_id=894" xr:uid="{94BE6F07-C3AF-4D40-B74B-2A55C4D38A1D}"/>
    <hyperlink ref="A24" r:id="rId5" display="https://www.bluetooth.org/errata/errata_view.cfm?errata_id=894" xr:uid="{339897BA-3D33-4A9D-B672-3CFC00F84885}"/>
    <hyperlink ref="A26" r:id="rId6" display="https://www.bluetooth.org/errata/errata_view.cfm?errata_id=894" xr:uid="{190B0025-2B0E-4B08-B7E9-FAC98DFE2628}"/>
    <hyperlink ref="A28" r:id="rId7" display="https://www.bluetooth.org/errata/errata_view.cfm?errata_id=894" xr:uid="{2F5AC558-9B55-4B30-9A6C-2D3B8399DDBF}"/>
    <hyperlink ref="A30" r:id="rId8" display="https://www.bluetooth.org/errata/errata_view.cfm?errata_id=894" xr:uid="{17ED4D86-4111-458E-91CA-702842E207CC}"/>
  </hyperlinks>
  <pageMargins left="0.7" right="0.7" top="0.75" bottom="0.75" header="0.3" footer="0.3"/>
  <pageSetup paperSize="9" orientation="portrait" horizontalDpi="300" verticalDpi="300"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J28"/>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9" t="s">
        <v>47</v>
      </c>
      <c r="B1" s="21"/>
      <c r="C1" s="21"/>
      <c r="D1" s="26"/>
      <c r="E1" s="26"/>
      <c r="F1" s="27"/>
      <c r="G1" s="27"/>
      <c r="H1" s="27"/>
      <c r="I1" s="27"/>
      <c r="J1" s="26"/>
    </row>
    <row r="2" spans="1:10" ht="66.75" customHeight="1" thickBot="1">
      <c r="A2" s="205" t="s">
        <v>21</v>
      </c>
      <c r="B2" s="206"/>
      <c r="C2" s="206"/>
      <c r="D2" s="206"/>
      <c r="E2" s="206"/>
      <c r="F2" s="206"/>
      <c r="G2" s="206"/>
      <c r="H2" s="206"/>
      <c r="I2" s="207"/>
      <c r="J2" s="26"/>
    </row>
    <row r="3" spans="1:10" ht="51.95" customHeight="1" thickBot="1">
      <c r="A3" s="205" t="s">
        <v>22</v>
      </c>
      <c r="B3" s="206"/>
      <c r="C3" s="206"/>
      <c r="D3" s="206"/>
      <c r="E3" s="206"/>
      <c r="F3" s="206"/>
      <c r="G3" s="206"/>
      <c r="H3" s="206"/>
      <c r="I3" s="207"/>
      <c r="J3" s="26"/>
    </row>
    <row r="4" spans="1:10" s="4" customFormat="1" ht="27.95" customHeight="1" thickBot="1">
      <c r="A4" s="50" t="s">
        <v>7</v>
      </c>
      <c r="B4" s="51" t="s">
        <v>5</v>
      </c>
      <c r="C4" s="50" t="s">
        <v>23</v>
      </c>
      <c r="D4" s="215" t="s">
        <v>8</v>
      </c>
      <c r="E4" s="216"/>
      <c r="F4" s="217"/>
      <c r="G4" s="215" t="s">
        <v>17</v>
      </c>
      <c r="H4" s="216"/>
      <c r="I4" s="217"/>
      <c r="J4" s="26"/>
    </row>
    <row r="5" spans="1:10" s="34" customFormat="1" ht="13.5" customHeight="1" thickBot="1">
      <c r="A5" s="52" t="s">
        <v>50</v>
      </c>
      <c r="B5" s="53">
        <v>44733</v>
      </c>
      <c r="C5" s="52" t="s">
        <v>9</v>
      </c>
      <c r="D5" s="199" t="s">
        <v>60</v>
      </c>
      <c r="E5" s="200"/>
      <c r="F5" s="201"/>
      <c r="G5" s="202" t="s">
        <v>16</v>
      </c>
      <c r="H5" s="203"/>
      <c r="I5" s="204"/>
      <c r="J5" s="26"/>
    </row>
    <row r="6" spans="1:10" s="4" customFormat="1" ht="15">
      <c r="A6" s="28"/>
      <c r="B6" s="28"/>
      <c r="C6" s="28"/>
      <c r="D6" s="28"/>
      <c r="E6" s="28"/>
      <c r="F6" s="28"/>
      <c r="G6" s="28"/>
      <c r="H6" s="28"/>
      <c r="I6" s="28"/>
      <c r="J6" s="26"/>
    </row>
    <row r="7" spans="1:10" ht="21" customHeight="1">
      <c r="A7" s="208" t="s">
        <v>6</v>
      </c>
      <c r="B7" s="208"/>
      <c r="C7" s="73"/>
      <c r="D7" s="26"/>
      <c r="E7" s="26"/>
      <c r="F7" s="27"/>
      <c r="G7" s="27"/>
      <c r="H7" s="27"/>
      <c r="I7" s="27"/>
      <c r="J7" s="26"/>
    </row>
    <row r="8" spans="1:10" ht="21" customHeight="1" thickBot="1">
      <c r="A8" s="129" t="s">
        <v>132</v>
      </c>
      <c r="B8" s="20"/>
      <c r="C8" s="73"/>
      <c r="D8" s="21"/>
      <c r="E8" s="26"/>
      <c r="F8" s="27"/>
      <c r="G8" s="27"/>
      <c r="H8" s="27"/>
      <c r="I8" s="27"/>
      <c r="J8" s="26"/>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HYPERLINK("https://bluetooth.atlassian.net/browse/ES-17455",17455)</f>
        <v>17455</v>
      </c>
      <c r="B10" s="137" t="s">
        <v>87</v>
      </c>
      <c r="C10" s="138">
        <v>1</v>
      </c>
      <c r="D10" s="55" t="s">
        <v>51</v>
      </c>
      <c r="E10" s="86" t="s">
        <v>81</v>
      </c>
      <c r="F10" s="37" t="s">
        <v>82</v>
      </c>
      <c r="G10" s="121">
        <v>4</v>
      </c>
      <c r="H10" s="166">
        <f>HYPERLINK("https://bluetooth.atlassian.net/browse/ES-17492",17492)</f>
        <v>17492</v>
      </c>
      <c r="I10" s="89" t="s">
        <v>24</v>
      </c>
      <c r="J10" s="36" t="s">
        <v>202</v>
      </c>
    </row>
    <row r="11" spans="1:10" s="2" customFormat="1" ht="27.95" customHeight="1" thickBot="1">
      <c r="A11" s="30">
        <f>HYPERLINK("https://bluetooth.atlassian.net/browse/ES-18769",18769)</f>
        <v>18769</v>
      </c>
      <c r="B11" s="141" t="s">
        <v>87</v>
      </c>
      <c r="C11" s="142">
        <v>1</v>
      </c>
      <c r="D11" s="143" t="s">
        <v>41</v>
      </c>
      <c r="E11" s="81" t="s">
        <v>4</v>
      </c>
      <c r="F11" s="82" t="s">
        <v>1</v>
      </c>
      <c r="G11" s="91"/>
      <c r="H11" s="144"/>
      <c r="I11" s="145"/>
      <c r="J11" s="35"/>
    </row>
    <row r="12" spans="1:10" s="2" customFormat="1" ht="28.5" customHeight="1" thickBot="1">
      <c r="A12" s="29">
        <f>HYPERLINK("https://bluetooth.atlassian.net/browse/ES-18772",18772)</f>
        <v>18772</v>
      </c>
      <c r="B12" s="137" t="s">
        <v>87</v>
      </c>
      <c r="C12" s="138">
        <v>1</v>
      </c>
      <c r="D12" s="146" t="s">
        <v>42</v>
      </c>
      <c r="E12" s="86" t="s">
        <v>4</v>
      </c>
      <c r="F12" s="89" t="s">
        <v>1</v>
      </c>
      <c r="G12" s="55"/>
      <c r="H12" s="147"/>
      <c r="I12" s="140"/>
      <c r="J12" s="36"/>
    </row>
    <row r="13" spans="1:10" s="2" customFormat="1" ht="27" customHeight="1" thickBot="1">
      <c r="A13" s="30">
        <f>HYPERLINK("https://bluetooth.atlassian.net/browse/ES-18873",18873)</f>
        <v>18873</v>
      </c>
      <c r="B13" s="141" t="s">
        <v>87</v>
      </c>
      <c r="C13" s="142">
        <v>1</v>
      </c>
      <c r="D13" s="143" t="s">
        <v>52</v>
      </c>
      <c r="E13" s="81" t="s">
        <v>80</v>
      </c>
      <c r="F13" s="94" t="s">
        <v>1</v>
      </c>
      <c r="G13" s="92"/>
      <c r="H13" s="148"/>
      <c r="I13" s="145"/>
      <c r="J13" s="35"/>
    </row>
    <row r="25" spans="1:9" ht="15.75" customHeight="1">
      <c r="A25" s="41"/>
      <c r="B25" s="42"/>
      <c r="C25" s="42"/>
      <c r="D25" s="42"/>
      <c r="F25" s="42"/>
      <c r="G25" s="42"/>
      <c r="H25" s="42"/>
      <c r="I25" s="42"/>
    </row>
    <row r="26" spans="1:9" ht="15.75" customHeight="1">
      <c r="A26" s="41"/>
      <c r="B26" s="42"/>
      <c r="C26" s="42"/>
      <c r="D26" s="42"/>
      <c r="F26" s="42"/>
      <c r="G26" s="42"/>
      <c r="H26" s="42"/>
      <c r="I26" s="42"/>
    </row>
    <row r="27" spans="1:9" ht="15.75" customHeight="1">
      <c r="A27" s="41"/>
      <c r="B27" s="42"/>
      <c r="C27" s="42"/>
      <c r="D27" s="42"/>
      <c r="F27" s="42"/>
      <c r="G27" s="42"/>
      <c r="H27" s="42"/>
      <c r="I27" s="42"/>
    </row>
    <row r="28" spans="1:9" ht="15.75" customHeight="1">
      <c r="A28" s="41"/>
      <c r="B28" s="42"/>
      <c r="C28" s="42"/>
      <c r="D28" s="42"/>
      <c r="F28" s="42"/>
      <c r="G28" s="42"/>
      <c r="H28" s="42"/>
      <c r="I28" s="42"/>
    </row>
  </sheetData>
  <mergeCells count="7">
    <mergeCell ref="A2:I2"/>
    <mergeCell ref="A3:I3"/>
    <mergeCell ref="A7:B7"/>
    <mergeCell ref="D4:F4"/>
    <mergeCell ref="D5:F5"/>
    <mergeCell ref="G4:I4"/>
    <mergeCell ref="G5:I5"/>
  </mergeCells>
  <conditionalFormatting sqref="F10:F13">
    <cfRule type="cellIs" dxfId="10" priority="1" operator="greaterThan">
      <formula>"Yes"</formula>
    </cfRule>
  </conditionalFormatting>
  <dataValidations count="7">
    <dataValidation allowBlank="1" sqref="H10:H13" xr:uid="{00000000-0002-0000-0200-000000000000}"/>
    <dataValidation type="list" allowBlank="1" sqref="I9" xr:uid="{FE048542-E3E8-4CD0-A2E5-8FAB83CDC946}">
      <formula1>#REF!</formula1>
    </dataValidation>
    <dataValidation type="list" allowBlank="1" sqref="F9:H9" xr:uid="{EBEDC240-F834-445F-88B2-1B004CBF9DC7}">
      <formula1>#REF!</formula1>
    </dataValidation>
    <dataValidation type="list" allowBlank="1" sqref="F10:F13" xr:uid="{D2742B32-E65F-45F8-AD14-69936B3B16AA}">
      <formula1>"No,Yes - doesn't need to wait for erratum,Yes - tied to spec change,Not Reviewed"</formula1>
    </dataValidation>
    <dataValidation type="list" allowBlank="1" showInputMessage="1" showErrorMessage="1" sqref="E10:E13" xr:uid="{7EDB281C-9BBC-4510-8E86-14990B9BDD56}">
      <formula1>"Editorial,1/Technical Low,2/Technical Medium,3/Technical High,4/Technical Critical,Not Categorized"</formula1>
    </dataValidation>
    <dataValidation type="list" allowBlank="1" showInputMessage="1" showErrorMessage="1" sqref="G10:G13" xr:uid="{14A5367B-65AC-422E-A279-45BD570921B8}">
      <formula1>"1,2,3,4,Not Categorized"</formula1>
    </dataValidation>
    <dataValidation type="list" allowBlank="1" sqref="I10:I13" xr:uid="{C68A9ED6-C7B0-4F91-916B-52D90DD9B987}">
      <formula1>"Open,Approved,Rejected,Released"</formula1>
    </dataValidation>
  </dataValidations>
  <hyperlinks>
    <hyperlink ref="A12" r:id="rId1" display="https://www.bluetooth.org/errata/errata_view.cfm?errata_id=894" xr:uid="{00000000-0004-0000-0200-000000000000}"/>
  </hyperlinks>
  <pageMargins left="0.7" right="0.7" top="0.75" bottom="0.75" header="0.3" footer="0.3"/>
  <pageSetup paperSize="9" orientation="portrait" horizontalDpi="300" verticalDpi="30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J24"/>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8.5703125" customWidth="1"/>
  </cols>
  <sheetData>
    <row r="1" spans="1:10" ht="28.5" customHeight="1" thickBot="1">
      <c r="A1" s="19" t="s">
        <v>48</v>
      </c>
      <c r="B1" s="21"/>
      <c r="C1" s="21"/>
      <c r="D1" s="26"/>
      <c r="E1" s="26"/>
      <c r="F1" s="27"/>
      <c r="G1" s="27"/>
      <c r="H1" s="27"/>
      <c r="I1" s="27"/>
      <c r="J1" s="26"/>
    </row>
    <row r="2" spans="1:10" ht="66.75" customHeight="1" thickBot="1">
      <c r="A2" s="205" t="s">
        <v>21</v>
      </c>
      <c r="B2" s="206"/>
      <c r="C2" s="206"/>
      <c r="D2" s="206"/>
      <c r="E2" s="206"/>
      <c r="F2" s="206"/>
      <c r="G2" s="206"/>
      <c r="H2" s="206"/>
      <c r="I2" s="207"/>
      <c r="J2" s="26"/>
    </row>
    <row r="3" spans="1:10" ht="51.95" customHeight="1" thickBot="1">
      <c r="A3" s="205" t="s">
        <v>22</v>
      </c>
      <c r="B3" s="206"/>
      <c r="C3" s="206"/>
      <c r="D3" s="206"/>
      <c r="E3" s="206"/>
      <c r="F3" s="206"/>
      <c r="G3" s="206"/>
      <c r="H3" s="206"/>
      <c r="I3" s="207"/>
      <c r="J3" s="26"/>
    </row>
    <row r="4" spans="1:10" s="4" customFormat="1" ht="31.5" customHeight="1" thickBot="1">
      <c r="A4" s="50" t="s">
        <v>7</v>
      </c>
      <c r="B4" s="51" t="s">
        <v>5</v>
      </c>
      <c r="C4" s="50" t="s">
        <v>23</v>
      </c>
      <c r="D4" s="215" t="s">
        <v>8</v>
      </c>
      <c r="E4" s="216"/>
      <c r="F4" s="217"/>
      <c r="G4" s="215" t="s">
        <v>17</v>
      </c>
      <c r="H4" s="216"/>
      <c r="I4" s="217"/>
      <c r="J4" s="26"/>
    </row>
    <row r="5" spans="1:10" s="4" customFormat="1" ht="18" customHeight="1" thickBot="1">
      <c r="A5" s="56" t="s">
        <v>53</v>
      </c>
      <c r="B5" s="57">
        <v>44733</v>
      </c>
      <c r="C5" s="56" t="s">
        <v>9</v>
      </c>
      <c r="D5" s="218" t="s">
        <v>61</v>
      </c>
      <c r="E5" s="219"/>
      <c r="F5" s="220"/>
      <c r="G5" s="218" t="s">
        <v>16</v>
      </c>
      <c r="H5" s="219"/>
      <c r="I5" s="220"/>
      <c r="J5" s="26"/>
    </row>
    <row r="6" spans="1:10" s="4" customFormat="1" ht="15">
      <c r="A6" s="28"/>
      <c r="B6" s="28"/>
      <c r="C6" s="28"/>
      <c r="D6" s="28"/>
      <c r="E6" s="28"/>
      <c r="F6" s="28"/>
      <c r="G6" s="28"/>
      <c r="H6" s="28"/>
      <c r="I6" s="28"/>
      <c r="J6" s="26"/>
    </row>
    <row r="7" spans="1:10" ht="21" customHeight="1">
      <c r="A7" s="208" t="s">
        <v>6</v>
      </c>
      <c r="B7" s="208"/>
      <c r="C7" s="73"/>
      <c r="D7" s="26"/>
      <c r="E7" s="26"/>
      <c r="F7" s="27"/>
      <c r="G7" s="27"/>
      <c r="H7" s="27"/>
      <c r="I7" s="27"/>
      <c r="J7" s="26"/>
    </row>
    <row r="8" spans="1:10" ht="21" customHeight="1" thickBot="1">
      <c r="A8" s="129" t="s">
        <v>132</v>
      </c>
      <c r="B8" s="20"/>
      <c r="C8" s="73"/>
      <c r="D8" s="21"/>
      <c r="E8" s="26"/>
      <c r="F8" s="27"/>
      <c r="G8" s="27"/>
      <c r="H8" s="27"/>
      <c r="I8" s="27"/>
      <c r="J8" s="26"/>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customHeight="1" thickBot="1">
      <c r="A10" s="29">
        <f>HYPERLINK("https://bluetooth.atlassian.net/browse/ES-17454",17454)</f>
        <v>17454</v>
      </c>
      <c r="B10" s="137" t="s">
        <v>88</v>
      </c>
      <c r="C10" s="167">
        <v>1</v>
      </c>
      <c r="D10" s="137" t="s">
        <v>54</v>
      </c>
      <c r="E10" s="86" t="s">
        <v>81</v>
      </c>
      <c r="F10" s="37" t="s">
        <v>82</v>
      </c>
      <c r="G10" s="121">
        <v>4</v>
      </c>
      <c r="H10" s="166">
        <f>HYPERLINK("https://bluetooth.atlassian.net/browse/ES-17490",17490)</f>
        <v>17490</v>
      </c>
      <c r="I10" s="89" t="s">
        <v>24</v>
      </c>
      <c r="J10" s="36" t="s">
        <v>201</v>
      </c>
    </row>
    <row r="11" spans="1:10" ht="26.25" customHeight="1" thickBot="1">
      <c r="A11" s="38">
        <f>HYPERLINK("https://bluetooth.atlassian.net/browse/ES-18770",18770)</f>
        <v>18770</v>
      </c>
      <c r="B11" s="141" t="s">
        <v>88</v>
      </c>
      <c r="C11" s="168">
        <v>1</v>
      </c>
      <c r="D11" s="141" t="s">
        <v>41</v>
      </c>
      <c r="E11" s="81" t="s">
        <v>4</v>
      </c>
      <c r="F11" s="82" t="s">
        <v>1</v>
      </c>
      <c r="G11" s="91"/>
      <c r="H11" s="161"/>
      <c r="I11" s="145"/>
      <c r="J11" s="106"/>
    </row>
    <row r="12" spans="1:10" ht="26.25" thickBot="1">
      <c r="A12" s="29">
        <f>HYPERLINK("https://bluetooth.atlassian.net/browse/ES-18773",18773)</f>
        <v>18773</v>
      </c>
      <c r="B12" s="137" t="s">
        <v>88</v>
      </c>
      <c r="C12" s="167">
        <v>1</v>
      </c>
      <c r="D12" s="137" t="s">
        <v>42</v>
      </c>
      <c r="E12" s="86" t="s">
        <v>4</v>
      </c>
      <c r="F12" s="89" t="s">
        <v>1</v>
      </c>
      <c r="G12" s="55"/>
      <c r="H12" s="155"/>
      <c r="I12" s="140"/>
      <c r="J12" s="156"/>
    </row>
    <row r="13" spans="1:10" ht="27" customHeight="1" thickBot="1">
      <c r="A13" s="38">
        <f>HYPERLINK("https://bluetooth.atlassian.net/browse/ES-17007",17007)</f>
        <v>17007</v>
      </c>
      <c r="B13" s="141" t="s">
        <v>88</v>
      </c>
      <c r="C13" s="168">
        <v>1</v>
      </c>
      <c r="D13" s="141" t="s">
        <v>55</v>
      </c>
      <c r="E13" s="81" t="s">
        <v>80</v>
      </c>
      <c r="F13" s="94" t="s">
        <v>1</v>
      </c>
      <c r="G13" s="92"/>
      <c r="H13" s="157"/>
      <c r="I13" s="145"/>
      <c r="J13" s="158"/>
    </row>
    <row r="20" spans="1:5" ht="15.75" customHeight="1">
      <c r="A20"/>
      <c r="B20" s="48"/>
      <c r="C20" s="48"/>
      <c r="D20" s="41"/>
    </row>
    <row r="21" spans="1:5" ht="15.75" customHeight="1">
      <c r="A21" s="41"/>
      <c r="B21" s="48"/>
      <c r="C21" s="48"/>
      <c r="D21" s="41"/>
    </row>
    <row r="22" spans="1:5" ht="15.75" customHeight="1">
      <c r="A22" s="41"/>
      <c r="B22" s="40"/>
      <c r="C22" s="40"/>
      <c r="D22" s="40"/>
      <c r="E22" s="40"/>
    </row>
    <row r="23" spans="1:5" ht="15.75" customHeight="1">
      <c r="A23" s="41"/>
      <c r="B23" s="40"/>
      <c r="C23" s="40"/>
      <c r="D23" s="40"/>
      <c r="E23" s="40"/>
    </row>
    <row r="24" spans="1:5" ht="15.75" customHeight="1">
      <c r="A24" s="41"/>
      <c r="B24" s="40"/>
      <c r="C24" s="40"/>
      <c r="D24" s="40"/>
      <c r="E24" s="40"/>
    </row>
  </sheetData>
  <mergeCells count="7">
    <mergeCell ref="A2:I2"/>
    <mergeCell ref="A3:I3"/>
    <mergeCell ref="A7:B7"/>
    <mergeCell ref="D4:F4"/>
    <mergeCell ref="D5:F5"/>
    <mergeCell ref="G4:I4"/>
    <mergeCell ref="G5:I5"/>
  </mergeCells>
  <conditionalFormatting sqref="F10:F13">
    <cfRule type="cellIs" dxfId="9" priority="1" operator="greaterThan">
      <formula>"Yes"</formula>
    </cfRule>
  </conditionalFormatting>
  <dataValidations count="6">
    <dataValidation type="list" allowBlank="1" sqref="H10" xr:uid="{00000000-0002-0000-0300-000000000000}">
      <formula1>#REF!</formula1>
    </dataValidation>
    <dataValidation type="list" allowBlank="1" sqref="F9:I9" xr:uid="{8324FE2A-F9EE-46B3-96C4-AA47DCAFFC73}">
      <formula1>#REF!</formula1>
    </dataValidation>
    <dataValidation type="list" allowBlank="1" showInputMessage="1" showErrorMessage="1" sqref="E10:E13" xr:uid="{668B67DA-7260-4B54-ACB2-EE96CF88493F}">
      <formula1>"Editorial,1/Technical Low,2/Technical Medium,3/Technical High,4/Technical Critical,Not Categorized"</formula1>
    </dataValidation>
    <dataValidation type="list" allowBlank="1" sqref="F10:F13" xr:uid="{451D8BCF-C750-45E2-AE4D-A8AF4AD6009B}">
      <formula1>"No,Yes - doesn't need to wait for erratum,Yes - tied to spec change,Not Reviewed"</formula1>
    </dataValidation>
    <dataValidation type="list" allowBlank="1" showInputMessage="1" showErrorMessage="1" sqref="G10:G13" xr:uid="{82BB62E9-8FD4-4FE5-89D5-B550CF843AF1}">
      <formula1>"1,2,3,4,Not Categorized"</formula1>
    </dataValidation>
    <dataValidation type="list" allowBlank="1" sqref="I10:I13" xr:uid="{138C30FD-5EBF-423E-BE91-93914329510B}">
      <formula1>"Open,Approved,Rejected,Released"</formula1>
    </dataValidation>
  </dataValidations>
  <hyperlinks>
    <hyperlink ref="A11" r:id="rId1" display="https://www.bluetooth.org/errata/errata_view.cfm?errata_id=894" xr:uid="{00000000-0004-0000-0300-000000000000}"/>
    <hyperlink ref="A12" r:id="rId2" display="https://www.bluetooth.org/errata/errata_view.cfm?errata_id=894" xr:uid="{00000000-0004-0000-0300-000001000000}"/>
    <hyperlink ref="A13" r:id="rId3" display="https://www.bluetooth.org/errata/errata_view.cfm?errata_id=894" xr:uid="{00000000-0004-0000-0300-000002000000}"/>
  </hyperlinks>
  <pageMargins left="0.7" right="0.7" top="0.75" bottom="0.75" header="0.3" footer="0.3"/>
  <pageSetup paperSize="9" orientation="portrait" horizontalDpi="300" verticalDpi="300"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39A80-0824-44B1-AD9D-E3AFFA203DD4}">
  <sheetPr>
    <outlinePr summaryBelow="0" summaryRight="0"/>
  </sheetPr>
  <dimension ref="A1:J27"/>
  <sheetViews>
    <sheetView zoomScaleNormal="100" workbookViewId="0"/>
  </sheetViews>
  <sheetFormatPr defaultColWidth="14.42578125" defaultRowHeight="15.75" customHeight="1"/>
  <cols>
    <col min="1" max="1" width="14.5703125" style="1" customWidth="1"/>
    <col min="2" max="2" width="23.5703125" style="1" customWidth="1"/>
    <col min="3" max="3" width="20.7109375" style="1" customWidth="1"/>
    <col min="4" max="4" width="38.42578125" customWidth="1"/>
    <col min="5" max="5" width="11.85546875" bestFit="1" customWidth="1"/>
    <col min="6" max="6" width="14.42578125" style="3" customWidth="1"/>
    <col min="7" max="7" width="11.28515625" style="3" customWidth="1"/>
    <col min="8" max="8" width="9.7109375" style="3" customWidth="1"/>
    <col min="9" max="9" width="14.42578125" style="3" customWidth="1"/>
    <col min="10" max="10" width="47.140625" customWidth="1"/>
  </cols>
  <sheetData>
    <row r="1" spans="1:10" ht="28.5" customHeight="1" thickBot="1">
      <c r="A1" s="128" t="s">
        <v>145</v>
      </c>
      <c r="B1" s="129"/>
      <c r="C1" s="129"/>
      <c r="D1" s="130"/>
      <c r="E1" s="130"/>
      <c r="F1" s="131"/>
      <c r="G1" s="131"/>
      <c r="H1" s="131"/>
      <c r="I1" s="131"/>
      <c r="J1" s="130"/>
    </row>
    <row r="2" spans="1:10" ht="66.75" customHeight="1" thickBot="1">
      <c r="A2" s="187" t="s">
        <v>207</v>
      </c>
      <c r="B2" s="188"/>
      <c r="C2" s="188"/>
      <c r="D2" s="188"/>
      <c r="E2" s="188"/>
      <c r="F2" s="188"/>
      <c r="G2" s="188"/>
      <c r="H2" s="188"/>
      <c r="I2" s="189"/>
      <c r="J2" s="130"/>
    </row>
    <row r="3" spans="1:10" ht="51.95" customHeight="1" thickBot="1">
      <c r="A3" s="187" t="s">
        <v>22</v>
      </c>
      <c r="B3" s="188"/>
      <c r="C3" s="188"/>
      <c r="D3" s="188"/>
      <c r="E3" s="188"/>
      <c r="F3" s="188"/>
      <c r="G3" s="188"/>
      <c r="H3" s="188"/>
      <c r="I3" s="189"/>
      <c r="J3" s="130"/>
    </row>
    <row r="4" spans="1:10" s="4" customFormat="1" ht="27.95" customHeight="1" thickBot="1">
      <c r="A4" s="132" t="s">
        <v>7</v>
      </c>
      <c r="B4" s="133" t="s">
        <v>5</v>
      </c>
      <c r="C4" s="132" t="s">
        <v>23</v>
      </c>
      <c r="D4" s="190" t="s">
        <v>8</v>
      </c>
      <c r="E4" s="191"/>
      <c r="F4" s="192"/>
      <c r="G4" s="190" t="s">
        <v>17</v>
      </c>
      <c r="H4" s="191"/>
      <c r="I4" s="192"/>
      <c r="J4" s="130"/>
    </row>
    <row r="5" spans="1:10" s="34" customFormat="1" ht="13.5" customHeight="1" thickBot="1">
      <c r="A5" s="52" t="s">
        <v>146</v>
      </c>
      <c r="B5" s="53">
        <v>45566</v>
      </c>
      <c r="C5" s="52" t="s">
        <v>9</v>
      </c>
      <c r="D5" s="199" t="s">
        <v>147</v>
      </c>
      <c r="E5" s="200"/>
      <c r="F5" s="201"/>
      <c r="G5" s="202" t="s">
        <v>16</v>
      </c>
      <c r="H5" s="203"/>
      <c r="I5" s="204"/>
      <c r="J5" s="130"/>
    </row>
    <row r="6" spans="1:10" s="4" customFormat="1" ht="15">
      <c r="A6" s="134"/>
      <c r="B6" s="134"/>
      <c r="C6" s="134"/>
      <c r="D6" s="134"/>
      <c r="E6" s="134"/>
      <c r="F6" s="134"/>
      <c r="G6" s="134"/>
      <c r="H6" s="134"/>
      <c r="I6" s="134"/>
      <c r="J6" s="130"/>
    </row>
    <row r="7" spans="1:10" ht="21" customHeight="1">
      <c r="A7" s="186" t="s">
        <v>6</v>
      </c>
      <c r="B7" s="186"/>
      <c r="C7" s="135"/>
      <c r="D7" s="130"/>
      <c r="E7" s="130"/>
      <c r="F7" s="131"/>
      <c r="G7" s="131"/>
      <c r="H7" s="131"/>
      <c r="I7" s="131"/>
      <c r="J7" s="130"/>
    </row>
    <row r="8" spans="1:10" ht="21" customHeight="1" thickBot="1">
      <c r="A8" s="129" t="s">
        <v>132</v>
      </c>
      <c r="B8" s="136"/>
      <c r="C8" s="135"/>
      <c r="D8" s="129"/>
      <c r="E8" s="130"/>
      <c r="F8" s="131"/>
      <c r="G8" s="131"/>
      <c r="H8" s="131"/>
      <c r="I8" s="131"/>
      <c r="J8" s="130"/>
    </row>
    <row r="9" spans="1:10" s="2" customFormat="1" ht="24.75" customHeight="1" thickBot="1">
      <c r="A9" s="22" t="s">
        <v>18</v>
      </c>
      <c r="B9" s="22" t="s">
        <v>133</v>
      </c>
      <c r="C9" s="22" t="s">
        <v>77</v>
      </c>
      <c r="D9" s="23" t="s">
        <v>20</v>
      </c>
      <c r="E9" s="23" t="s">
        <v>134</v>
      </c>
      <c r="F9" s="24" t="s">
        <v>0</v>
      </c>
      <c r="G9" s="23" t="s">
        <v>135</v>
      </c>
      <c r="H9" s="24" t="s">
        <v>136</v>
      </c>
      <c r="I9" s="24" t="s">
        <v>3</v>
      </c>
      <c r="J9" s="23" t="s">
        <v>2</v>
      </c>
    </row>
    <row r="10" spans="1:10" s="2" customFormat="1" ht="26.25" thickBot="1">
      <c r="A10" s="29">
        <f>HYPERLINK("https://bluetooth.atlassian.net/browse/ES-19220",19220)</f>
        <v>19220</v>
      </c>
      <c r="B10" s="137" t="s">
        <v>148</v>
      </c>
      <c r="C10" s="138">
        <v>1</v>
      </c>
      <c r="D10" s="55" t="s">
        <v>149</v>
      </c>
      <c r="E10" s="86" t="s">
        <v>85</v>
      </c>
      <c r="F10" s="37" t="s">
        <v>82</v>
      </c>
      <c r="G10" s="121">
        <v>2</v>
      </c>
      <c r="H10" s="166">
        <f>HYPERLINK("https://bluetooth.atlassian.net/browse/ES-25408",25408)</f>
        <v>25408</v>
      </c>
      <c r="I10" s="89" t="s">
        <v>24</v>
      </c>
      <c r="J10" s="36" t="s">
        <v>199</v>
      </c>
    </row>
    <row r="11" spans="1:10" s="2" customFormat="1" ht="39" thickBot="1">
      <c r="A11" s="30">
        <f>HYPERLINK("https://bluetooth.atlassian.net/browse/ES-23132",23132)</f>
        <v>23132</v>
      </c>
      <c r="B11" s="141" t="s">
        <v>148</v>
      </c>
      <c r="C11" s="142">
        <v>1</v>
      </c>
      <c r="D11" s="143" t="s">
        <v>150</v>
      </c>
      <c r="E11" s="81" t="s">
        <v>85</v>
      </c>
      <c r="F11" s="82" t="s">
        <v>79</v>
      </c>
      <c r="G11" s="82">
        <v>2</v>
      </c>
      <c r="H11" s="169">
        <f>HYPERLINK("https://bluetooth.atlassian.net/browse/ES-24939",24939)</f>
        <v>24939</v>
      </c>
      <c r="I11" s="82" t="s">
        <v>24</v>
      </c>
      <c r="J11" s="35" t="s">
        <v>200</v>
      </c>
    </row>
    <row r="12" spans="1:10" s="2" customFormat="1" ht="28.5" customHeight="1" thickBot="1">
      <c r="A12" s="29">
        <f>HYPERLINK("https://bluetooth.atlassian.net/browse/ES-23815",23815)</f>
        <v>23815</v>
      </c>
      <c r="B12" s="137" t="s">
        <v>148</v>
      </c>
      <c r="C12" s="138">
        <v>1</v>
      </c>
      <c r="D12" s="146" t="s">
        <v>107</v>
      </c>
      <c r="E12" s="86" t="s">
        <v>4</v>
      </c>
      <c r="F12" s="89" t="s">
        <v>1</v>
      </c>
      <c r="G12" s="55"/>
      <c r="H12" s="147"/>
      <c r="I12" s="140"/>
      <c r="J12" s="36"/>
    </row>
    <row r="24" spans="1:9" ht="15.75" customHeight="1">
      <c r="A24" s="41"/>
      <c r="B24" s="42"/>
      <c r="C24" s="42"/>
      <c r="D24" s="42"/>
      <c r="F24" s="42"/>
      <c r="G24" s="42"/>
      <c r="H24" s="42"/>
      <c r="I24" s="42"/>
    </row>
    <row r="25" spans="1:9" ht="15.75" customHeight="1">
      <c r="A25" s="41"/>
      <c r="B25" s="42"/>
      <c r="C25" s="42"/>
      <c r="D25" s="42"/>
      <c r="F25" s="42"/>
      <c r="G25" s="42"/>
      <c r="H25" s="42"/>
      <c r="I25" s="42"/>
    </row>
    <row r="26" spans="1:9" ht="15.75" customHeight="1">
      <c r="A26" s="41"/>
      <c r="B26" s="42"/>
      <c r="C26" s="42"/>
      <c r="D26" s="42"/>
      <c r="F26" s="42"/>
      <c r="G26" s="42"/>
      <c r="H26" s="42"/>
      <c r="I26" s="42"/>
    </row>
    <row r="27" spans="1:9" ht="15.75" customHeight="1">
      <c r="A27" s="41"/>
      <c r="B27" s="42"/>
      <c r="C27" s="42"/>
      <c r="D27" s="42"/>
      <c r="F27" s="42"/>
      <c r="G27" s="42"/>
      <c r="H27" s="42"/>
      <c r="I27" s="42"/>
    </row>
  </sheetData>
  <mergeCells count="7">
    <mergeCell ref="A7:B7"/>
    <mergeCell ref="A2:I2"/>
    <mergeCell ref="A3:I3"/>
    <mergeCell ref="D4:F4"/>
    <mergeCell ref="G4:I4"/>
    <mergeCell ref="D5:F5"/>
    <mergeCell ref="G5:I5"/>
  </mergeCells>
  <conditionalFormatting sqref="F10:F12">
    <cfRule type="cellIs" dxfId="8" priority="1" operator="greaterThan">
      <formula>"Yes"</formula>
    </cfRule>
  </conditionalFormatting>
  <dataValidations count="7">
    <dataValidation allowBlank="1" sqref="H10:H12" xr:uid="{65DE3711-09ED-4F21-97F0-04AB4C1771CB}"/>
    <dataValidation type="list" allowBlank="1" sqref="I9" xr:uid="{E4F12D33-4013-4BC1-9D02-A5E0A759890C}">
      <formula1>#REF!</formula1>
    </dataValidation>
    <dataValidation type="list" allowBlank="1" sqref="F9:H9" xr:uid="{919AA1DC-0E4D-4DE9-BAA4-048EB3A0F1E7}">
      <formula1>#REF!</formula1>
    </dataValidation>
    <dataValidation type="list" allowBlank="1" sqref="F10:F12" xr:uid="{63D506A7-E3B6-4631-8CB5-57160F990CA9}">
      <formula1>"No,Yes - doesn't need to wait for erratum,Yes - tied to spec change,Not Reviewed"</formula1>
    </dataValidation>
    <dataValidation type="list" allowBlank="1" showInputMessage="1" showErrorMessage="1" sqref="E10:E12" xr:uid="{B491416C-9977-46E9-8969-356407F78C87}">
      <formula1>"Editorial,1/Technical Low,2/Technical Medium,3/Technical High,4/Technical Critical,Not Categorized"</formula1>
    </dataValidation>
    <dataValidation type="list" allowBlank="1" showInputMessage="1" showErrorMessage="1" sqref="G10:G12" xr:uid="{7252A044-8B81-4D55-AE2C-FF5D8F48D694}">
      <formula1>"1,2,3,4,Not Categorized"</formula1>
    </dataValidation>
    <dataValidation type="list" allowBlank="1" sqref="I10:I12" xr:uid="{A3D9B397-66A4-48BE-93EE-59808A1D711E}">
      <formula1>"Open,Approved,Rejected,Released"</formula1>
    </dataValidation>
  </dataValidations>
  <hyperlinks>
    <hyperlink ref="A12" r:id="rId1" display="https://www.bluetooth.org/errata/errata_view.cfm?errata_id=894" xr:uid="{A6291C11-20B7-49D0-A670-6FAFA24CB866}"/>
  </hyperlinks>
  <pageMargins left="0.7" right="0.7" top="0.75" bottom="0.75" header="0.3" footer="0.3"/>
  <pageSetup paperSize="9" orientation="portrait" horizontalDpi="300" verticalDpi="3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c57150-95d3-44f5-b623-81a9dee31073" xsi:nil="true"/>
    <lcf76f155ced4ddcb4097134ff3c332f xmlns="841ce161-2f11-4fff-9b19-93e9b368de6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73C2DDB3CD31449998C8DF81E1EB713" ma:contentTypeVersion="15" ma:contentTypeDescription="Create a new document." ma:contentTypeScope="" ma:versionID="cd2d9b744c04e179f3f499213e42a264">
  <xsd:schema xmlns:xsd="http://www.w3.org/2001/XMLSchema" xmlns:xs="http://www.w3.org/2001/XMLSchema" xmlns:p="http://schemas.microsoft.com/office/2006/metadata/properties" xmlns:ns2="841ce161-2f11-4fff-9b19-93e9b368de60" xmlns:ns3="44c57150-95d3-44f5-b623-81a9dee31073" targetNamespace="http://schemas.microsoft.com/office/2006/metadata/properties" ma:root="true" ma:fieldsID="753f99d05f3f417550a1cce3d02ad244" ns2:_="" ns3:_="">
    <xsd:import namespace="841ce161-2f11-4fff-9b19-93e9b368de60"/>
    <xsd:import namespace="44c57150-95d3-44f5-b623-81a9dee3107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1ce161-2f11-4fff-9b19-93e9b368de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02237d5-7af0-4a45-8a54-8adec39992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c57150-95d3-44f5-b623-81a9dee3107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62b7f15-1d09-46b3-acdc-1bfe72f7aa22}" ma:internalName="TaxCatchAll" ma:showField="CatchAllData" ma:web="44c57150-95d3-44f5-b623-81a9dee31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1087D4-9F94-4615-8E49-C53FBFC565B5}">
  <ds:schemaRefs>
    <ds:schemaRef ds:uri="44c57150-95d3-44f5-b623-81a9dee31073"/>
    <ds:schemaRef ds:uri="http://purl.org/dc/dcmitype/"/>
    <ds:schemaRef ds:uri="http://schemas.openxmlformats.org/package/2006/metadata/core-properties"/>
    <ds:schemaRef ds:uri="http://schemas.microsoft.com/office/2006/documentManagement/types"/>
    <ds:schemaRef ds:uri="http://purl.org/dc/terms/"/>
    <ds:schemaRef ds:uri="http://www.w3.org/XML/1998/namespace"/>
    <ds:schemaRef ds:uri="http://schemas.microsoft.com/office/2006/metadata/properties"/>
    <ds:schemaRef ds:uri="http://schemas.microsoft.com/office/infopath/2007/PartnerControls"/>
    <ds:schemaRef ds:uri="841ce161-2f11-4fff-9b19-93e9b368de60"/>
    <ds:schemaRef ds:uri="http://purl.org/dc/elements/1.1/"/>
  </ds:schemaRefs>
</ds:datastoreItem>
</file>

<file path=customXml/itemProps2.xml><?xml version="1.0" encoding="utf-8"?>
<ds:datastoreItem xmlns:ds="http://schemas.openxmlformats.org/officeDocument/2006/customXml" ds:itemID="{DD0957F6-954A-40BF-BDDD-2E1430A86C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1ce161-2f11-4fff-9b19-93e9b368de60"/>
    <ds:schemaRef ds:uri="44c57150-95d3-44f5-b623-81a9dee31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11A415-2290-4C38-8257-43C4C4F7BDC2}">
  <ds:schemaRefs>
    <ds:schemaRef ds:uri="http://schemas.microsoft.com/sharepoint/v3/contenttype/forms"/>
  </ds:schemaRefs>
</ds:datastoreItem>
</file>

<file path=docMetadata/LabelInfo.xml><?xml version="1.0" encoding="utf-8"?>
<clbl:labelList xmlns:clbl="http://schemas.microsoft.com/office/2020/mipLabelMetadata">
  <clbl:label id="{e4e0fec5-fc6c-4dd6-ae37-4bdb30e156b9}" enabled="0" method="" siteId="{e4e0fec5-fc6c-4dd6-ae37-4bdb30e156b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Revisions</vt:lpstr>
      <vt:lpstr>AICS Spec Errata</vt:lpstr>
      <vt:lpstr>ASCS Spec Errata</vt:lpstr>
      <vt:lpstr>BAP Spec Errata</vt:lpstr>
      <vt:lpstr>BASS Spec Errata</vt:lpstr>
      <vt:lpstr>CAP Spec Errata</vt:lpstr>
      <vt:lpstr>CSIP Spec Errata</vt:lpstr>
      <vt:lpstr>CSIS Spec Errata</vt:lpstr>
      <vt:lpstr>HAP Spec Errata</vt:lpstr>
      <vt:lpstr>HAS Spec Errata</vt:lpstr>
      <vt:lpstr>LC3 Spec Errata</vt:lpstr>
      <vt:lpstr>MCS Spec Errata</vt:lpstr>
      <vt:lpstr>PACS Spec Errata</vt:lpstr>
      <vt:lpstr>PBP Spec Errata</vt:lpstr>
      <vt:lpstr>TMAP Spec Errata</vt:lpstr>
      <vt:lpstr>VCS Spec Errata</vt:lpstr>
      <vt:lpstr>VOCS Spec Errata</vt:lpstr>
    </vt:vector>
  </TitlesOfParts>
  <Company>Bluetooth SIG,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Integrated Errata - GATTBasedAudio TCRL Specification Test Impact p4</dc:title>
  <dc:creator>Bluetooth SIG, Inc.</dc:creator>
  <cp:lastModifiedBy>Stephanie Geels</cp:lastModifiedBy>
  <dcterms:created xsi:type="dcterms:W3CDTF">2019-11-25T16:19:22Z</dcterms:created>
  <dcterms:modified xsi:type="dcterms:W3CDTF">2025-01-31T23:04:31Z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0x010100173C2DDB3CD31449998C8DF81E1EB713</vt:lpwstr>
  </property>
  <property fmtid="{D5CDD505-2E9C-101B-9397-08002B2CF9AE}" pid="3" name="IsCharter">
    <vt:bool>true</vt:bool>
  </property>
  <property fmtid="{D5CDD505-2E9C-101B-9397-08002B2CF9AE}" pid="4" name="ffae6c47e63c48e7ac7ef403e3387e67">
    <vt:lpwstr/>
  </property>
  <property fmtid="{D5CDD505-2E9C-101B-9397-08002B2CF9AE}" pid="5" name="SpecificationVersion">
    <vt:lpwstr/>
  </property>
  <property fmtid="{D5CDD505-2E9C-101B-9397-08002B2CF9AE}" pid="6" name="IsTestSpecification">
    <vt:bool>false</vt:bool>
  </property>
  <property fmtid="{D5CDD505-2E9C-101B-9397-08002B2CF9AE}" pid="7" name="dce0bea3db71457195d934bb264453e3">
    <vt:lpwstr/>
  </property>
  <property fmtid="{D5CDD505-2E9C-101B-9397-08002B2CF9AE}" pid="8" name="Is Published">
    <vt:bool>false</vt:bool>
  </property>
  <property fmtid="{D5CDD505-2E9C-101B-9397-08002B2CF9AE}" pid="9" name="IsReviewedDocument">
    <vt:bool>false</vt:bool>
  </property>
  <property fmtid="{D5CDD505-2E9C-101B-9397-08002B2CF9AE}" pid="10" name="j549a530e4d34c0280002dbace63d5ef">
    <vt:lpwstr/>
  </property>
  <property fmtid="{D5CDD505-2E9C-101B-9397-08002B2CF9AE}" pid="11" name="SpecificationName">
    <vt:lpwstr/>
  </property>
  <property fmtid="{D5CDD505-2E9C-101B-9397-08002B2CF9AE}" pid="12" name="SIGGroup">
    <vt:lpwstr/>
  </property>
  <property fmtid="{D5CDD505-2E9C-101B-9397-08002B2CF9AE}" pid="13" name="_dlc_DocIdItemGuid">
    <vt:lpwstr>f58d383e-151f-40d1-aa77-7cfb503345e1</vt:lpwstr>
  </property>
  <property fmtid="{D5CDD505-2E9C-101B-9397-08002B2CF9AE}" pid="14" name="TaxCatchAll">
    <vt:lpwstr/>
  </property>
  <property fmtid="{D5CDD505-2E9C-101B-9397-08002B2CF9AE}" pid="15" name="MediaServiceImageTags">
    <vt:lpwstr/>
  </property>
</Properties>
</file>