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https://bluetoothsig.sharepoint.com/sites/SpecificationDocumentManagement/Shared Documents/Test Documents/Maintenance/Core - April 2025/Prepare for publication/"/>
    </mc:Choice>
  </mc:AlternateContent>
  <xr:revisionPtr revIDLastSave="0" documentId="8_{4D7C49B7-A9FB-4678-9102-C3DC0D9129DA}" xr6:coauthVersionLast="47" xr6:coauthVersionMax="47" xr10:uidLastSave="{00000000-0000-0000-0000-000000000000}"/>
  <bookViews>
    <workbookView xWindow="-90" yWindow="-90" windowWidth="19380" windowHeight="10260" tabRatio="599" xr2:uid="{00000000-000D-0000-FFFF-FFFF00000000}"/>
  </bookViews>
  <sheets>
    <sheet name="Revisions" sheetId="2" r:id="rId1"/>
    <sheet name="v6.1 Spec Errata vs Test Impact" sheetId="7" r:id="rId2"/>
    <sheet name="v6.0 Spec Errata vs Test Impact" sheetId="5" r:id="rId3"/>
    <sheet name="v5.4 Spec Errata vs Test Impact" sheetId="4" r:id="rId4"/>
    <sheet name="v5.3 Spec Errata vs Test Impact" sheetId="1" r:id="rId5"/>
    <sheet name="v5.2 Spec Errata vs Test Impact" sheetId="3" r:id="rId6"/>
  </sheets>
  <definedNames>
    <definedName name="_xlnm._FilterDatabase" localSheetId="3" hidden="1">'v5.4 Spec Errata vs Test Impact'!$A$3:$H$245</definedName>
    <definedName name="_xlnm._FilterDatabase" localSheetId="2" hidden="1">'v6.0 Spec Errata vs Test Impact'!$A$3:$H$280</definedName>
    <definedName name="_xlnm._FilterDatabase" localSheetId="1" hidden="1">'v6.1 Spec Errata vs Test Impact'!$A$3:$H$112</definedName>
  </definedNames>
  <calcPr calcId="191029"/>
  <customWorkbookViews>
    <customWorkbookView name="Microsoft Office User - Personal View" guid="{655390B4-4489-5947-8AE3-8EB981F4F264}" mergeInterval="0" personalView="1" xWindow="2020" yWindow="347" windowWidth="1887" windowHeight="1175" tabRatio="599" activeSheetId="1"/>
    <customWorkbookView name="User - Personal View" guid="{CADAEDA2-7BFF-4B6C-93AD-777D370C1699}" mergeInterval="0" personalView="1" maximized="1" xWindow="3832" yWindow="-8" windowWidth="1936" windowHeight="1056" tabRatio="599"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7" l="1"/>
  <c r="A5" i="7"/>
  <c r="A6" i="7"/>
  <c r="A7" i="7"/>
  <c r="A8" i="7"/>
  <c r="A9" i="7"/>
  <c r="A10" i="7"/>
  <c r="A11" i="7"/>
  <c r="G11" i="7"/>
  <c r="A12" i="7"/>
  <c r="G12" i="7"/>
  <c r="A13" i="7"/>
  <c r="G13" i="7"/>
  <c r="A14" i="7"/>
  <c r="A15" i="7"/>
  <c r="A16" i="7"/>
  <c r="A17" i="7"/>
  <c r="A18" i="7"/>
  <c r="A19" i="7"/>
  <c r="G19" i="7"/>
  <c r="A20" i="7"/>
  <c r="A21" i="7"/>
  <c r="G21" i="7"/>
  <c r="A22" i="7"/>
  <c r="A23" i="7"/>
  <c r="A24" i="7"/>
  <c r="A25" i="7"/>
  <c r="A26" i="7"/>
  <c r="A27" i="7"/>
  <c r="G27" i="7"/>
  <c r="A28" i="7"/>
  <c r="A29" i="7"/>
  <c r="A30" i="7"/>
  <c r="A31" i="7"/>
  <c r="G31" i="7"/>
  <c r="A32" i="7"/>
  <c r="A33" i="7"/>
  <c r="A34" i="7"/>
  <c r="A35" i="7"/>
  <c r="A36" i="7"/>
  <c r="A37" i="7"/>
  <c r="A38" i="7"/>
  <c r="A39" i="7"/>
  <c r="G39" i="7"/>
  <c r="A40" i="7"/>
  <c r="G40" i="7"/>
  <c r="A41" i="7"/>
  <c r="A42" i="7"/>
  <c r="A43" i="7"/>
  <c r="A44" i="7"/>
  <c r="A45" i="7"/>
  <c r="A46" i="7"/>
  <c r="A47" i="7"/>
  <c r="A48" i="7"/>
  <c r="A49" i="7"/>
  <c r="A50" i="7"/>
  <c r="A51" i="7"/>
  <c r="A52" i="7"/>
  <c r="A53" i="7"/>
  <c r="A54" i="7"/>
  <c r="A55" i="7"/>
  <c r="A56" i="7"/>
  <c r="A57" i="7"/>
  <c r="A58" i="7"/>
  <c r="A59" i="7"/>
  <c r="G59" i="7"/>
  <c r="A60" i="7"/>
  <c r="G60" i="7"/>
  <c r="A61" i="7"/>
  <c r="A62" i="7"/>
  <c r="A63" i="7"/>
  <c r="A64" i="7"/>
  <c r="A65" i="7"/>
  <c r="A66" i="7"/>
  <c r="A67" i="7"/>
  <c r="A68" i="7"/>
  <c r="A69" i="7"/>
  <c r="A70" i="7"/>
  <c r="A71" i="7"/>
  <c r="A72" i="7"/>
  <c r="A73" i="7"/>
  <c r="A74" i="7"/>
  <c r="A75" i="7"/>
  <c r="A76" i="7"/>
  <c r="A77" i="7"/>
  <c r="A78" i="7"/>
  <c r="A79" i="7"/>
  <c r="A80" i="7"/>
  <c r="G80" i="7"/>
  <c r="A81" i="7"/>
  <c r="A82" i="7"/>
  <c r="A83" i="7"/>
  <c r="G83" i="7"/>
  <c r="A84" i="7"/>
  <c r="A85" i="7"/>
  <c r="G85" i="7"/>
  <c r="A86" i="7"/>
  <c r="G86" i="7"/>
  <c r="A87" i="7"/>
  <c r="A88" i="7"/>
  <c r="A89" i="7"/>
  <c r="A90" i="7"/>
  <c r="A91" i="7"/>
  <c r="A92" i="7"/>
  <c r="A93" i="7"/>
  <c r="A94" i="7"/>
  <c r="A95" i="7"/>
  <c r="A96" i="7"/>
  <c r="A97" i="7"/>
  <c r="A98" i="7"/>
  <c r="A99" i="7"/>
  <c r="A100" i="7"/>
  <c r="A101" i="7"/>
  <c r="A102" i="7"/>
  <c r="A103" i="7"/>
  <c r="A104" i="7"/>
  <c r="G104" i="7"/>
  <c r="A105" i="7"/>
  <c r="A106" i="7"/>
  <c r="G106" i="7"/>
  <c r="A107" i="7"/>
  <c r="G107" i="7"/>
  <c r="A108" i="7"/>
  <c r="A109" i="7"/>
  <c r="A110" i="7"/>
  <c r="G110" i="7"/>
  <c r="A111" i="7"/>
  <c r="A112" i="7"/>
  <c r="G19" i="4"/>
  <c r="A245" i="4"/>
  <c r="A244" i="4"/>
  <c r="A243" i="4"/>
  <c r="A242" i="4"/>
  <c r="A241" i="4"/>
  <c r="G240" i="4"/>
  <c r="A239" i="4"/>
  <c r="A238" i="4"/>
  <c r="A237" i="4"/>
  <c r="A236" i="4"/>
  <c r="A235" i="4"/>
  <c r="A234" i="4"/>
  <c r="A233" i="4"/>
  <c r="A232" i="4"/>
  <c r="A231" i="4"/>
  <c r="A230" i="4"/>
  <c r="A229" i="4"/>
  <c r="A228" i="4"/>
  <c r="A227" i="4"/>
  <c r="A226" i="4"/>
  <c r="A225" i="4"/>
  <c r="A224" i="4"/>
  <c r="A223" i="4"/>
  <c r="A222" i="4"/>
  <c r="A221" i="4"/>
  <c r="A220" i="4"/>
  <c r="G219" i="4"/>
  <c r="G218" i="4"/>
  <c r="A217" i="4"/>
  <c r="A216" i="4"/>
  <c r="A215" i="4"/>
  <c r="G214" i="4"/>
  <c r="A214" i="4"/>
  <c r="G213" i="4"/>
  <c r="A213" i="4"/>
  <c r="G212" i="4"/>
  <c r="A212" i="4"/>
  <c r="A211" i="4"/>
  <c r="A210" i="4"/>
  <c r="A209" i="4"/>
  <c r="G208" i="4"/>
  <c r="A207" i="4"/>
  <c r="G206" i="4"/>
  <c r="G205" i="4"/>
  <c r="A205" i="4"/>
  <c r="A204" i="4"/>
  <c r="G203" i="4"/>
  <c r="A202" i="4"/>
  <c r="A201" i="4"/>
  <c r="G200" i="4"/>
  <c r="A200" i="4"/>
  <c r="G199" i="4"/>
  <c r="A198" i="4"/>
  <c r="A197" i="4"/>
  <c r="A196" i="4"/>
  <c r="G195" i="4"/>
  <c r="A194" i="4"/>
  <c r="G193" i="4"/>
  <c r="A192" i="4"/>
  <c r="A191" i="4"/>
  <c r="A190" i="4"/>
  <c r="A189" i="4"/>
  <c r="A188" i="4"/>
  <c r="A187" i="4"/>
  <c r="A186" i="4"/>
  <c r="G185" i="4"/>
  <c r="A185" i="4"/>
  <c r="G184" i="4"/>
  <c r="A184" i="4"/>
  <c r="A183" i="4"/>
  <c r="A182" i="4"/>
  <c r="A181" i="4"/>
  <c r="A180" i="4"/>
  <c r="A179" i="4"/>
  <c r="A178" i="4"/>
  <c r="A177" i="4"/>
  <c r="G176" i="4"/>
  <c r="G175" i="4"/>
  <c r="A175" i="4"/>
  <c r="A174" i="4"/>
  <c r="A173" i="4"/>
  <c r="A172" i="4"/>
  <c r="G171" i="4"/>
  <c r="G170" i="4"/>
  <c r="G169" i="4"/>
  <c r="G168" i="4"/>
  <c r="A168" i="4"/>
  <c r="A167" i="4"/>
  <c r="A166" i="4"/>
  <c r="G165" i="4"/>
  <c r="G164" i="4"/>
  <c r="G163" i="4"/>
  <c r="A163" i="4"/>
  <c r="A162" i="4"/>
  <c r="G161" i="4"/>
  <c r="A161" i="4"/>
  <c r="A160" i="4"/>
  <c r="A159" i="4"/>
  <c r="G158" i="4"/>
  <c r="A158" i="4"/>
  <c r="A157" i="4"/>
  <c r="G156" i="4"/>
  <c r="A155" i="4"/>
  <c r="A154" i="4"/>
  <c r="A153" i="4"/>
  <c r="A152" i="4"/>
  <c r="G151" i="4"/>
  <c r="A150" i="4"/>
  <c r="A149" i="4"/>
  <c r="G148" i="4"/>
  <c r="A148" i="4"/>
  <c r="G147" i="4"/>
  <c r="A147" i="4"/>
  <c r="G146" i="4"/>
  <c r="A146" i="4"/>
  <c r="G145" i="4"/>
  <c r="G144" i="4"/>
  <c r="A143" i="4"/>
  <c r="A142" i="4"/>
  <c r="G141" i="4"/>
  <c r="A140" i="4"/>
  <c r="A139" i="4"/>
  <c r="A138" i="4"/>
  <c r="A137" i="4"/>
  <c r="A136" i="4"/>
  <c r="G135" i="4"/>
  <c r="A134" i="4"/>
  <c r="A133" i="4"/>
  <c r="A132" i="4"/>
  <c r="A131" i="4"/>
  <c r="A130" i="4"/>
  <c r="A129" i="4"/>
  <c r="A128" i="4"/>
  <c r="A127" i="4"/>
  <c r="G126" i="4"/>
  <c r="A125" i="4"/>
  <c r="G124" i="4"/>
  <c r="A124" i="4"/>
  <c r="G123" i="4"/>
  <c r="A122" i="4"/>
  <c r="G121" i="4"/>
  <c r="G120" i="4"/>
  <c r="G119" i="4"/>
  <c r="A119" i="4"/>
  <c r="A118" i="4"/>
  <c r="A117" i="4"/>
  <c r="G116" i="4"/>
  <c r="A116" i="4"/>
  <c r="A115" i="4"/>
  <c r="A114" i="4"/>
  <c r="A113" i="4"/>
  <c r="A112" i="4"/>
  <c r="A111" i="4"/>
  <c r="A110" i="4"/>
  <c r="A109" i="4"/>
  <c r="A108" i="4"/>
  <c r="A107" i="4"/>
  <c r="A106" i="4"/>
  <c r="A105" i="4"/>
  <c r="A104" i="4"/>
  <c r="A103" i="4"/>
  <c r="A102" i="4"/>
  <c r="A101" i="4"/>
  <c r="A100" i="4"/>
  <c r="A99" i="4"/>
  <c r="A98" i="4"/>
  <c r="A97" i="4"/>
  <c r="A96" i="4"/>
  <c r="A95" i="4"/>
  <c r="A94" i="4"/>
  <c r="A93" i="4"/>
  <c r="A92" i="4"/>
  <c r="A91" i="4"/>
  <c r="A90" i="4"/>
  <c r="A89" i="4"/>
  <c r="A88" i="4"/>
  <c r="A87" i="4"/>
  <c r="A86" i="4"/>
  <c r="A85" i="4"/>
  <c r="A84" i="4"/>
  <c r="A83" i="4"/>
  <c r="A82" i="4"/>
  <c r="A81" i="4"/>
  <c r="G80" i="4"/>
  <c r="A79" i="4"/>
  <c r="A78" i="4"/>
  <c r="A77" i="4"/>
  <c r="A76" i="4"/>
  <c r="A75" i="4"/>
  <c r="A74" i="4"/>
  <c r="A73" i="4"/>
  <c r="A72" i="4"/>
  <c r="A71" i="4"/>
  <c r="A70" i="4"/>
  <c r="A69" i="4"/>
  <c r="A68" i="4"/>
  <c r="A67" i="4"/>
  <c r="A66" i="4"/>
  <c r="A65" i="4"/>
  <c r="A64" i="4"/>
  <c r="A63" i="4"/>
  <c r="A62" i="4"/>
  <c r="A61" i="4"/>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G32" i="4"/>
  <c r="A32" i="4"/>
  <c r="A31" i="4"/>
  <c r="A30" i="4"/>
  <c r="A29" i="4"/>
  <c r="A28" i="4"/>
  <c r="A27" i="4"/>
  <c r="A26" i="4"/>
  <c r="A25" i="4"/>
  <c r="A24" i="4"/>
  <c r="A23" i="4"/>
  <c r="A22" i="4"/>
  <c r="A21" i="4"/>
  <c r="A20" i="4"/>
  <c r="A19" i="4"/>
  <c r="A17" i="4"/>
  <c r="A16" i="4"/>
  <c r="A15" i="4"/>
  <c r="G14" i="4"/>
  <c r="A14" i="4"/>
  <c r="A13" i="4"/>
  <c r="A12" i="4"/>
  <c r="A11" i="4"/>
  <c r="A10" i="4"/>
  <c r="A9" i="4"/>
  <c r="A8" i="4"/>
  <c r="A7" i="4"/>
  <c r="A6" i="4"/>
  <c r="G5" i="4"/>
  <c r="A5" i="4"/>
  <c r="A4" i="4"/>
  <c r="A108" i="3"/>
  <c r="A107" i="3"/>
  <c r="A106" i="3"/>
  <c r="A105" i="3"/>
  <c r="A104" i="3"/>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5" i="3"/>
  <c r="A4" i="3"/>
  <c r="A6" i="3"/>
  <c r="G104" i="3"/>
  <c r="G102" i="3"/>
  <c r="G97" i="3"/>
  <c r="G89" i="3"/>
  <c r="G81" i="3"/>
  <c r="G80" i="3"/>
  <c r="G79" i="3"/>
  <c r="G78" i="3"/>
  <c r="G32" i="3"/>
  <c r="G22" i="3"/>
  <c r="G13" i="3"/>
  <c r="G10" i="3"/>
  <c r="G13" i="1"/>
  <c r="G585" i="1" l="1"/>
  <c r="G584" i="1"/>
  <c r="G583" i="1"/>
  <c r="G531" i="1"/>
  <c r="G413" i="1"/>
  <c r="G412" i="1"/>
  <c r="G411" i="1"/>
  <c r="G410" i="1"/>
  <c r="G409" i="1"/>
  <c r="G408" i="1"/>
  <c r="G407" i="1"/>
  <c r="G406" i="1"/>
  <c r="G405" i="1"/>
  <c r="G404" i="1"/>
  <c r="G403" i="1"/>
  <c r="G398" i="1"/>
  <c r="G391" i="1"/>
  <c r="G389" i="1"/>
  <c r="G388" i="1"/>
  <c r="G386" i="1"/>
  <c r="G381" i="1"/>
  <c r="G371" i="1"/>
  <c r="G370" i="1"/>
  <c r="G364" i="1"/>
  <c r="G363" i="1"/>
  <c r="G354" i="1"/>
  <c r="G353" i="1"/>
  <c r="G352" i="1"/>
  <c r="G351" i="1"/>
  <c r="G342" i="1"/>
  <c r="G341" i="1"/>
  <c r="G311" i="1"/>
  <c r="G310" i="1"/>
  <c r="G309" i="1"/>
  <c r="G308" i="1"/>
  <c r="G307" i="1"/>
  <c r="G306" i="1"/>
  <c r="G305" i="1"/>
  <c r="G304" i="1"/>
  <c r="G303" i="1"/>
  <c r="G302" i="1"/>
  <c r="G301" i="1"/>
  <c r="G300" i="1"/>
  <c r="G299" i="1"/>
  <c r="G298" i="1"/>
  <c r="G297" i="1"/>
  <c r="G296" i="1"/>
  <c r="G295" i="1"/>
  <c r="G294" i="1"/>
  <c r="G293" i="1"/>
  <c r="G292" i="1"/>
  <c r="G291" i="1"/>
  <c r="G290" i="1"/>
  <c r="G289" i="1"/>
  <c r="G288" i="1"/>
  <c r="G287" i="1"/>
  <c r="G286" i="1"/>
  <c r="G285" i="1"/>
  <c r="G284" i="1"/>
  <c r="G283" i="1"/>
  <c r="G282" i="1"/>
  <c r="G281" i="1"/>
  <c r="G280" i="1"/>
  <c r="G273" i="1"/>
  <c r="G272" i="1"/>
  <c r="G254" i="1"/>
  <c r="G253" i="1"/>
  <c r="G252" i="1"/>
  <c r="G251" i="1"/>
  <c r="G250" i="1"/>
  <c r="G249" i="1"/>
  <c r="G248" i="1"/>
  <c r="G203" i="1"/>
  <c r="G202" i="1"/>
  <c r="G201" i="1"/>
  <c r="G200" i="1"/>
  <c r="G199" i="1"/>
  <c r="G182"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8" i="1"/>
  <c r="G147" i="1"/>
  <c r="G146" i="1"/>
  <c r="G145" i="1"/>
  <c r="G144" i="1"/>
  <c r="G143" i="1"/>
  <c r="G142" i="1"/>
  <c r="G141" i="1"/>
  <c r="G140" i="1"/>
  <c r="G139" i="1"/>
  <c r="G138" i="1"/>
  <c r="G137" i="1"/>
  <c r="G128" i="1"/>
  <c r="G127" i="1"/>
  <c r="G126" i="1"/>
  <c r="G125" i="1"/>
  <c r="G124" i="1"/>
  <c r="G112" i="1"/>
  <c r="G110" i="1"/>
  <c r="G90" i="1"/>
  <c r="G89" i="1"/>
  <c r="G88" i="1"/>
  <c r="G87" i="1"/>
  <c r="G86" i="1"/>
  <c r="G85" i="1"/>
  <c r="G84" i="1"/>
  <c r="G83" i="1"/>
  <c r="G82" i="1"/>
  <c r="G79" i="1"/>
  <c r="G78" i="1"/>
  <c r="G77" i="1"/>
  <c r="G76" i="1"/>
  <c r="G75" i="1"/>
  <c r="G74" i="1"/>
  <c r="G53" i="1"/>
  <c r="G52" i="1"/>
  <c r="G51" i="1"/>
  <c r="G50" i="1"/>
  <c r="G49" i="1"/>
  <c r="G48" i="1"/>
  <c r="G47" i="1"/>
  <c r="G46" i="1"/>
  <c r="G45" i="1"/>
  <c r="G44" i="1"/>
  <c r="G43" i="1"/>
  <c r="G42" i="1"/>
  <c r="G41" i="1"/>
  <c r="G40" i="1"/>
  <c r="G39" i="1"/>
  <c r="G38" i="1"/>
  <c r="G37" i="1"/>
  <c r="G36" i="1"/>
  <c r="G35" i="1"/>
  <c r="A581" i="1"/>
  <c r="A562" i="1"/>
  <c r="A561" i="1"/>
  <c r="A560" i="1"/>
  <c r="A559" i="1"/>
  <c r="A558" i="1"/>
  <c r="A557" i="1"/>
  <c r="A534" i="1"/>
  <c r="A531" i="1"/>
  <c r="A529" i="1"/>
  <c r="A528" i="1"/>
  <c r="A527" i="1"/>
  <c r="A526" i="1"/>
  <c r="A525" i="1"/>
  <c r="A524" i="1"/>
  <c r="A523" i="1"/>
  <c r="A522" i="1"/>
  <c r="A418" i="1"/>
  <c r="A400" i="1"/>
  <c r="A382" i="1"/>
  <c r="A379" i="1"/>
  <c r="A378" i="1"/>
  <c r="A374" i="1"/>
  <c r="A367" i="1"/>
  <c r="A366" i="1"/>
  <c r="A356" i="1"/>
  <c r="A355" i="1"/>
  <c r="A348" i="1"/>
  <c r="A343" i="1"/>
  <c r="A340" i="1"/>
  <c r="A339" i="1"/>
  <c r="A338" i="1"/>
  <c r="A325" i="1"/>
  <c r="A324" i="1"/>
  <c r="A313" i="1"/>
  <c r="A306" i="1"/>
  <c r="A300" i="1"/>
  <c r="A293" i="1"/>
  <c r="A263" i="1"/>
  <c r="A261" i="1"/>
  <c r="A258" i="1"/>
  <c r="A257" i="1"/>
  <c r="A254" i="1"/>
  <c r="A240" i="1"/>
  <c r="A237" i="1"/>
  <c r="A229" i="1"/>
  <c r="A228" i="1"/>
  <c r="A227" i="1"/>
  <c r="A165" i="1"/>
  <c r="A142" i="1"/>
  <c r="A122" i="1"/>
  <c r="A102" i="1"/>
  <c r="A100" i="1"/>
  <c r="A92" i="1"/>
  <c r="A89" i="1"/>
  <c r="A21" i="1"/>
  <c r="A20" i="1"/>
  <c r="A12" i="1"/>
  <c r="A5" i="1"/>
  <c r="A587" i="1"/>
  <c r="A586" i="1"/>
  <c r="A584" i="1"/>
  <c r="A583" i="1"/>
  <c r="A582" i="1"/>
  <c r="A580" i="1"/>
  <c r="A579" i="1"/>
  <c r="A578" i="1"/>
  <c r="A577" i="1"/>
  <c r="A576" i="1"/>
  <c r="A575" i="1"/>
  <c r="A574" i="1"/>
  <c r="A573" i="1"/>
  <c r="A572" i="1"/>
  <c r="A571" i="1"/>
  <c r="A570" i="1"/>
  <c r="A569" i="1"/>
  <c r="A568" i="1"/>
  <c r="A567" i="1"/>
  <c r="A566" i="1"/>
  <c r="A565" i="1"/>
  <c r="A564" i="1"/>
  <c r="A563" i="1"/>
  <c r="A556" i="1"/>
  <c r="A555" i="1"/>
  <c r="A554" i="1"/>
  <c r="A553" i="1"/>
  <c r="A552" i="1"/>
  <c r="A551" i="1"/>
  <c r="A550" i="1"/>
  <c r="A549" i="1"/>
  <c r="A548" i="1"/>
  <c r="A547" i="1"/>
  <c r="A546" i="1"/>
  <c r="A545" i="1"/>
  <c r="A544" i="1"/>
  <c r="A543" i="1"/>
  <c r="A542" i="1"/>
  <c r="A541" i="1"/>
  <c r="A540" i="1"/>
  <c r="A539" i="1"/>
  <c r="A538" i="1"/>
  <c r="A537" i="1"/>
  <c r="A536" i="1"/>
  <c r="A535" i="1"/>
  <c r="A533" i="1"/>
  <c r="A532" i="1"/>
  <c r="A530" i="1"/>
  <c r="A521" i="1"/>
  <c r="A520" i="1"/>
  <c r="A519" i="1"/>
  <c r="A518" i="1"/>
  <c r="A517" i="1"/>
  <c r="A516" i="1"/>
  <c r="A515" i="1"/>
  <c r="A514" i="1"/>
  <c r="A513" i="1"/>
  <c r="A512" i="1"/>
  <c r="A511" i="1"/>
  <c r="A510" i="1"/>
  <c r="A509" i="1"/>
  <c r="A508" i="1"/>
  <c r="A507" i="1"/>
  <c r="A506" i="1"/>
  <c r="A505" i="1"/>
  <c r="A504" i="1"/>
  <c r="A503" i="1"/>
  <c r="A502" i="1"/>
  <c r="A501" i="1"/>
  <c r="A500" i="1"/>
  <c r="A499" i="1"/>
  <c r="A498" i="1"/>
  <c r="A497" i="1"/>
  <c r="A496" i="1"/>
  <c r="A495" i="1"/>
  <c r="A494" i="1"/>
  <c r="A493" i="1"/>
  <c r="A492" i="1"/>
  <c r="A491" i="1"/>
  <c r="A490" i="1"/>
  <c r="A489" i="1"/>
  <c r="A488" i="1"/>
  <c r="A487" i="1"/>
  <c r="A486" i="1"/>
  <c r="A485" i="1"/>
  <c r="A484" i="1"/>
  <c r="A483" i="1"/>
  <c r="A482" i="1"/>
  <c r="A481" i="1"/>
  <c r="A480" i="1"/>
  <c r="A479" i="1"/>
  <c r="A478" i="1"/>
  <c r="A477" i="1"/>
  <c r="A476" i="1"/>
  <c r="A475" i="1"/>
  <c r="A474" i="1"/>
  <c r="A473" i="1"/>
  <c r="A472" i="1"/>
  <c r="A471" i="1"/>
  <c r="A470" i="1"/>
  <c r="A469" i="1"/>
  <c r="A468" i="1"/>
  <c r="A467" i="1"/>
  <c r="A466" i="1"/>
  <c r="A465" i="1"/>
  <c r="A464" i="1"/>
  <c r="A463" i="1"/>
  <c r="A462" i="1"/>
  <c r="A461" i="1"/>
  <c r="A460" i="1"/>
  <c r="A459" i="1"/>
  <c r="A458" i="1"/>
  <c r="A457" i="1"/>
  <c r="A456" i="1"/>
  <c r="A455" i="1"/>
  <c r="A454" i="1"/>
  <c r="A453" i="1"/>
  <c r="A452" i="1"/>
  <c r="A451" i="1"/>
  <c r="A450" i="1"/>
  <c r="A449" i="1"/>
  <c r="A448" i="1"/>
  <c r="A447" i="1"/>
  <c r="A446" i="1"/>
  <c r="A445" i="1"/>
  <c r="A444" i="1"/>
  <c r="A443" i="1"/>
  <c r="A442" i="1"/>
  <c r="A441" i="1"/>
  <c r="A440" i="1"/>
  <c r="A439" i="1"/>
  <c r="A438" i="1"/>
  <c r="A437" i="1"/>
  <c r="A436" i="1"/>
  <c r="A435" i="1"/>
  <c r="A434" i="1"/>
  <c r="A433" i="1"/>
  <c r="A432" i="1"/>
  <c r="A431" i="1"/>
  <c r="A430" i="1"/>
  <c r="A429" i="1"/>
  <c r="A428" i="1"/>
  <c r="A427" i="1"/>
  <c r="A426" i="1"/>
  <c r="A425" i="1"/>
  <c r="A424" i="1"/>
  <c r="A423" i="1"/>
  <c r="A422" i="1"/>
  <c r="A421" i="1"/>
  <c r="A420" i="1"/>
  <c r="A419" i="1"/>
  <c r="A417" i="1"/>
  <c r="A416" i="1"/>
  <c r="A415" i="1"/>
  <c r="A414" i="1"/>
  <c r="A412" i="1"/>
  <c r="A410" i="1"/>
  <c r="A408" i="1"/>
  <c r="A407" i="1"/>
  <c r="A406" i="1"/>
  <c r="A405" i="1"/>
  <c r="A404" i="1"/>
  <c r="A403" i="1"/>
  <c r="A402" i="1"/>
  <c r="A401" i="1"/>
  <c r="A399" i="1"/>
  <c r="A398" i="1"/>
  <c r="A397" i="1"/>
  <c r="A396" i="1"/>
  <c r="A395" i="1"/>
  <c r="A394" i="1"/>
  <c r="A393" i="1"/>
  <c r="A392" i="1"/>
  <c r="A391" i="1"/>
  <c r="A390" i="1"/>
  <c r="A389" i="1"/>
  <c r="A388" i="1"/>
  <c r="A387" i="1"/>
  <c r="A386" i="1"/>
  <c r="A385" i="1"/>
  <c r="A384" i="1"/>
  <c r="A383" i="1"/>
  <c r="A381" i="1"/>
  <c r="A380" i="1"/>
  <c r="A377" i="1"/>
  <c r="A376" i="1"/>
  <c r="A375" i="1"/>
  <c r="A373" i="1"/>
  <c r="A372" i="1"/>
  <c r="A370" i="1"/>
  <c r="A369" i="1"/>
  <c r="A368" i="1"/>
  <c r="A365" i="1"/>
  <c r="A363" i="1"/>
  <c r="A362" i="1"/>
  <c r="A361" i="1"/>
  <c r="A360" i="1"/>
  <c r="A359" i="1"/>
  <c r="A358" i="1"/>
  <c r="A357" i="1"/>
  <c r="A354" i="1"/>
  <c r="A353" i="1"/>
  <c r="A352" i="1"/>
  <c r="A351" i="1"/>
  <c r="A350" i="1"/>
  <c r="A349" i="1"/>
  <c r="A347" i="1"/>
  <c r="A346" i="1"/>
  <c r="A345" i="1"/>
  <c r="A344" i="1"/>
  <c r="A342" i="1"/>
  <c r="A341" i="1"/>
  <c r="A337" i="1"/>
  <c r="A336" i="1"/>
  <c r="A335" i="1"/>
  <c r="A334" i="1"/>
  <c r="A333" i="1"/>
  <c r="A332" i="1"/>
  <c r="A331" i="1"/>
  <c r="A330" i="1"/>
  <c r="A329" i="1"/>
  <c r="A328" i="1"/>
  <c r="A327" i="1"/>
  <c r="A326" i="1"/>
  <c r="A323" i="1"/>
  <c r="A322" i="1"/>
  <c r="A321" i="1"/>
  <c r="A320" i="1"/>
  <c r="A319" i="1"/>
  <c r="A318" i="1"/>
  <c r="A317" i="1"/>
  <c r="A316" i="1"/>
  <c r="A315" i="1"/>
  <c r="G314" i="1"/>
  <c r="A314" i="1"/>
  <c r="A312" i="1"/>
  <c r="A310" i="1"/>
  <c r="A308" i="1"/>
  <c r="A307" i="1"/>
  <c r="A305" i="1"/>
  <c r="A304" i="1"/>
  <c r="A303" i="1"/>
  <c r="A302" i="1"/>
  <c r="A301" i="1"/>
  <c r="A299" i="1"/>
  <c r="A298" i="1"/>
  <c r="A297" i="1"/>
  <c r="A296" i="1"/>
  <c r="A295" i="1"/>
  <c r="A294" i="1"/>
  <c r="A292"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2" i="1"/>
  <c r="A260" i="1"/>
  <c r="A259" i="1"/>
  <c r="A256" i="1"/>
  <c r="A255" i="1"/>
  <c r="A253" i="1"/>
  <c r="A252" i="1"/>
  <c r="A251" i="1"/>
  <c r="A250" i="1"/>
  <c r="A249" i="1"/>
  <c r="A248" i="1"/>
  <c r="A247" i="1"/>
  <c r="A246" i="1"/>
  <c r="A245" i="1"/>
  <c r="A244" i="1"/>
  <c r="A243" i="1"/>
  <c r="A242" i="1"/>
  <c r="A241" i="1"/>
  <c r="A239" i="1"/>
  <c r="A238" i="1"/>
  <c r="A236" i="1"/>
  <c r="A235" i="1"/>
  <c r="A234" i="1"/>
  <c r="A233" i="1"/>
  <c r="A232" i="1"/>
  <c r="A231" i="1"/>
  <c r="A230"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201" i="1"/>
  <c r="A200" i="1"/>
  <c r="A199" i="1"/>
  <c r="A198" i="1"/>
  <c r="A197" i="1"/>
  <c r="A196" i="1"/>
  <c r="A195" i="1"/>
  <c r="A194" i="1"/>
  <c r="A193" i="1"/>
  <c r="A192" i="1"/>
  <c r="A191" i="1"/>
  <c r="A190" i="1"/>
  <c r="A189" i="1"/>
  <c r="A188" i="1"/>
  <c r="A187" i="1"/>
  <c r="A186" i="1"/>
  <c r="A185" i="1"/>
  <c r="A184" i="1"/>
  <c r="A183" i="1"/>
  <c r="A182" i="1"/>
  <c r="A181" i="1"/>
  <c r="A180" i="1"/>
  <c r="A177" i="1"/>
  <c r="A175" i="1"/>
  <c r="A173" i="1"/>
  <c r="A169" i="1"/>
  <c r="A168" i="1"/>
  <c r="A167" i="1"/>
  <c r="A166" i="1"/>
  <c r="A164" i="1"/>
  <c r="A163" i="1"/>
  <c r="A162" i="1"/>
  <c r="A161" i="1"/>
  <c r="A160" i="1"/>
  <c r="A159" i="1"/>
  <c r="A158" i="1"/>
  <c r="A157" i="1"/>
  <c r="A156" i="1"/>
  <c r="A155" i="1"/>
  <c r="A154" i="1"/>
  <c r="A153" i="1"/>
  <c r="A152" i="1"/>
  <c r="A151" i="1"/>
  <c r="A150" i="1"/>
  <c r="A149" i="1"/>
  <c r="A148" i="1"/>
  <c r="A147" i="1"/>
  <c r="A146" i="1"/>
  <c r="A145" i="1"/>
  <c r="A144" i="1"/>
  <c r="A143" i="1"/>
  <c r="A141" i="1"/>
  <c r="A140" i="1"/>
  <c r="A139" i="1"/>
  <c r="A138" i="1"/>
  <c r="A137" i="1"/>
  <c r="A136" i="1"/>
  <c r="A135" i="1"/>
  <c r="A134" i="1"/>
  <c r="A133" i="1"/>
  <c r="A132" i="1"/>
  <c r="A131" i="1"/>
  <c r="A130" i="1"/>
  <c r="A129" i="1"/>
  <c r="A128" i="1"/>
  <c r="A127" i="1"/>
  <c r="A126" i="1"/>
  <c r="A125" i="1"/>
  <c r="A124" i="1"/>
  <c r="A123" i="1"/>
  <c r="A121" i="1"/>
  <c r="A120" i="1"/>
  <c r="A119" i="1"/>
  <c r="A118" i="1"/>
  <c r="A117" i="1"/>
  <c r="A116" i="1"/>
  <c r="A115" i="1"/>
  <c r="A114" i="1"/>
  <c r="A113" i="1"/>
  <c r="A112" i="1"/>
  <c r="A111" i="1"/>
  <c r="A110" i="1"/>
  <c r="A109" i="1"/>
  <c r="A108" i="1"/>
  <c r="A107" i="1"/>
  <c r="A106" i="1"/>
  <c r="A105" i="1"/>
  <c r="A104" i="1"/>
  <c r="A103" i="1"/>
  <c r="A101" i="1"/>
  <c r="A99" i="1"/>
  <c r="A98" i="1"/>
  <c r="A97" i="1"/>
  <c r="A96" i="1"/>
  <c r="A95" i="1"/>
  <c r="A94" i="1"/>
  <c r="A93" i="1"/>
  <c r="A91" i="1"/>
  <c r="A90"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1" i="1"/>
  <c r="A48" i="1"/>
  <c r="A45" i="1"/>
  <c r="A43" i="1"/>
  <c r="A41" i="1"/>
  <c r="A40" i="1"/>
  <c r="A39" i="1"/>
  <c r="A38" i="1"/>
  <c r="A37" i="1"/>
  <c r="A36" i="1"/>
  <c r="A35" i="1"/>
  <c r="A34" i="1"/>
  <c r="A33" i="1"/>
  <c r="A32" i="1"/>
  <c r="A31" i="1"/>
  <c r="A30" i="1"/>
  <c r="A29" i="1"/>
  <c r="A28" i="1"/>
  <c r="A27" i="1"/>
  <c r="A26" i="1"/>
  <c r="A25" i="1"/>
  <c r="A24" i="1"/>
  <c r="A23" i="1"/>
  <c r="A22" i="1"/>
  <c r="A19" i="1"/>
  <c r="A18" i="1"/>
  <c r="A17" i="1"/>
  <c r="A16" i="1"/>
  <c r="A15" i="1"/>
  <c r="A14" i="1"/>
  <c r="A13" i="1"/>
  <c r="A11" i="1"/>
  <c r="A10" i="1"/>
  <c r="A9" i="1"/>
  <c r="A8" i="1"/>
  <c r="A7" i="1"/>
  <c r="A6" i="1"/>
  <c r="A4" i="1"/>
</calcChain>
</file>

<file path=xl/sharedStrings.xml><?xml version="1.0" encoding="utf-8"?>
<sst xmlns="http://schemas.openxmlformats.org/spreadsheetml/2006/main" count="5922" uniqueCount="1788">
  <si>
    <t>Test Impact</t>
  </si>
  <si>
    <t>Yes</t>
  </si>
  <si>
    <t>No</t>
  </si>
  <si>
    <t>Subject</t>
  </si>
  <si>
    <t>Data block based flow control on LE</t>
  </si>
  <si>
    <t>Capitalization of Class of Device</t>
  </si>
  <si>
    <t>No clear definition of EventCounter</t>
  </si>
  <si>
    <t>Table 4.1 in the wrong place?</t>
  </si>
  <si>
    <t>Data Types / CSSv8</t>
  </si>
  <si>
    <t>Part</t>
  </si>
  <si>
    <t>Consistency of type names</t>
  </si>
  <si>
    <t>Standard convention for error codes</t>
  </si>
  <si>
    <t>Consistent naming of LMP parameters</t>
  </si>
  <si>
    <t>Misc* (core) / 5.0</t>
  </si>
  <si>
    <t>Use of the word ensure</t>
  </si>
  <si>
    <t>GAP / 5.0</t>
  </si>
  <si>
    <t>Use of the word guarantee</t>
  </si>
  <si>
    <t>Use of the word prevent</t>
  </si>
  <si>
    <t>Case of assorted client and server names</t>
  </si>
  <si>
    <t>Reserve ranges for informal IOP testing</t>
  </si>
  <si>
    <t>What is a GATT server?</t>
  </si>
  <si>
    <t>opcode v op code</t>
  </si>
  <si>
    <t>Page response substate</t>
  </si>
  <si>
    <t>Formatting for hopping sequences</t>
  </si>
  <si>
    <t>HCI / 5.1</t>
  </si>
  <si>
    <t>Remove non-standard reference</t>
  </si>
  <si>
    <t>GAP / 5.1</t>
  </si>
  <si>
    <t>Master host or master's host</t>
  </si>
  <si>
    <t>Architecture / 5.1</t>
  </si>
  <si>
    <t>Much text is repeated</t>
  </si>
  <si>
    <t>WCI-1 / 5.1</t>
  </si>
  <si>
    <t>Frequency entries in tables 2.1 and 2.2</t>
  </si>
  <si>
    <t>Style guide conformance</t>
  </si>
  <si>
    <t>Wrong reference</t>
  </si>
  <si>
    <t>404 error in link</t>
  </si>
  <si>
    <t>Link Layer / 5.1</t>
  </si>
  <si>
    <t>MSC / 5.1</t>
  </si>
  <si>
    <t>LMP_sniff_mode does not exist</t>
  </si>
  <si>
    <t>LE Sample Data / 5.1</t>
  </si>
  <si>
    <t>Security / 5.1</t>
  </si>
  <si>
    <t>Modifications in transmitterAllowance</t>
  </si>
  <si>
    <t>Link Layer / 5.1</t>
  </si>
  <si>
    <t>Error range consistency</t>
  </si>
  <si>
    <t>Eliminate PHY channel numbers</t>
  </si>
  <si>
    <t>GAP / 5.1</t>
  </si>
  <si>
    <t>Event Counter in SyncInfo field</t>
  </si>
  <si>
    <t>LE MSC / 5.1</t>
  </si>
  <si>
    <t>Type in MSC</t>
  </si>
  <si>
    <t>Misc* (core) / 5.1</t>
  </si>
  <si>
    <t>HCI / 5.1</t>
  </si>
  <si>
    <t>Milan r05 cover pages</t>
  </si>
  <si>
    <t>Clarification needed</t>
  </si>
  <si>
    <t>Remove AFH enumerations</t>
  </si>
  <si>
    <t>Is Simple Pairing always Secure?</t>
  </si>
  <si>
    <t>Split the DHKey into its components?</t>
  </si>
  <si>
    <t>Style of Clock_Offset parameter</t>
  </si>
  <si>
    <t>Extend erratum 10987 to all commands</t>
  </si>
  <si>
    <t>Radio / 5.1</t>
  </si>
  <si>
    <t>Orphan text in appendix</t>
  </si>
  <si>
    <t>Renaming error code 0x1A</t>
  </si>
  <si>
    <t>Consistency of L2CAP wording</t>
  </si>
  <si>
    <t>Remove duplicate requirements</t>
  </si>
  <si>
    <t>ISOAL visual infelicities</t>
  </si>
  <si>
    <t>Change SDP transaction names</t>
  </si>
  <si>
    <t>Missing commas</t>
  </si>
  <si>
    <t>Security / 5.1</t>
  </si>
  <si>
    <t>Link Manager / 5.1</t>
  </si>
  <si>
    <t>LE MSC / 5.2</t>
  </si>
  <si>
    <t>What does reconfigure means</t>
  </si>
  <si>
    <t>Integration of erratum 11331</t>
  </si>
  <si>
    <t>Integration of erratum 10428</t>
  </si>
  <si>
    <t>HCI / 5.2</t>
  </si>
  <si>
    <t>Isochronous Adaptation Layer (ISOAL) / 5.2</t>
  </si>
  <si>
    <t>Time_offset clarification</t>
  </si>
  <si>
    <t>Provide context for latency formula</t>
  </si>
  <si>
    <t>Clean up grammar</t>
  </si>
  <si>
    <t>Key size comparatives</t>
  </si>
  <si>
    <t>Casing of the word Encryption</t>
  </si>
  <si>
    <t>Page Scan casing</t>
  </si>
  <si>
    <t>Missing box around figures</t>
  </si>
  <si>
    <t>Incomplete box on figure</t>
  </si>
  <si>
    <t>Incorrect table field title color</t>
  </si>
  <si>
    <t>Can role switch be rejected</t>
  </si>
  <si>
    <t>Wrong order of messages</t>
  </si>
  <si>
    <t>Assorted HCI editorial fixes</t>
  </si>
  <si>
    <t>Clarifications in table 4.1</t>
  </si>
  <si>
    <t>Spelling of CtrData</t>
  </si>
  <si>
    <t>Table colour conventions</t>
  </si>
  <si>
    <t>GAP table issues</t>
  </si>
  <si>
    <t>Bad use of italics</t>
  </si>
  <si>
    <t>References to CSS</t>
  </si>
  <si>
    <t>Text still uses old PDU names</t>
  </si>
  <si>
    <t>References to L2CAP PDUs in GAP</t>
  </si>
  <si>
    <t>Mysterious channel_est_req</t>
  </si>
  <si>
    <t>Mysterious vertical line</t>
  </si>
  <si>
    <t>Assorted GATT editorial issues</t>
  </si>
  <si>
    <t>Table column widths</t>
  </si>
  <si>
    <t>Editorial proposals for table 5.2</t>
  </si>
  <si>
    <t>Parameter title in wrong place</t>
  </si>
  <si>
    <t>Use of legal rather than valid</t>
  </si>
  <si>
    <t>Use of illegal</t>
  </si>
  <si>
    <t>Wrong NSE range</t>
  </si>
  <si>
    <t>Wrong terminology</t>
  </si>
  <si>
    <t>Compliance / 5.2</t>
  </si>
  <si>
    <t>Reword the description of this event</t>
  </si>
  <si>
    <t>LE Physical Layer / 5.1</t>
  </si>
  <si>
    <t>Are power levels radiated or conducted?</t>
  </si>
  <si>
    <t>Missing comma</t>
  </si>
  <si>
    <t>Link Layer / 5.2</t>
  </si>
  <si>
    <t>Security / 5.2</t>
  </si>
  <si>
    <t>Inconsistency in subsection headings</t>
  </si>
  <si>
    <t>Assorted inconsistencies</t>
  </si>
  <si>
    <t>Include missing parameter blocks</t>
  </si>
  <si>
    <t>Lacunae from erratum 11057</t>
  </si>
  <si>
    <t>Incorrect handle value in server RSP</t>
  </si>
  <si>
    <t>Incorrect ATT PDU Name mentioned</t>
  </si>
  <si>
    <t>How is the SDU sync reference used?</t>
  </si>
  <si>
    <t>Missing Properties field</t>
  </si>
  <si>
    <t>GAP / 5.2</t>
  </si>
  <si>
    <t>Encourage mutual authentication?</t>
  </si>
  <si>
    <t>Duplicated requirements</t>
  </si>
  <si>
    <t>Matching commands</t>
  </si>
  <si>
    <t>Remove nugatory text</t>
  </si>
  <si>
    <t>Clarify meaning of TGAP(105) and (106)</t>
  </si>
  <si>
    <t>Integration of erratum 12064</t>
  </si>
  <si>
    <t>Integration of erratum 12589</t>
  </si>
  <si>
    <t>Spelling</t>
  </si>
  <si>
    <t>Revisit erratum 12517</t>
  </si>
  <si>
    <t>SDP / 5.2</t>
  </si>
  <si>
    <t>Missing hyperlink</t>
  </si>
  <si>
    <t>Typo</t>
  </si>
  <si>
    <t>Potentially confusing wording</t>
  </si>
  <si>
    <t>IOP issue with window widening</t>
  </si>
  <si>
    <t>Baseband / 5.2</t>
  </si>
  <si>
    <t>Wrong clock bits</t>
  </si>
  <si>
    <t>Commands don't have errors</t>
  </si>
  <si>
    <t>Max PDU minimum size</t>
  </si>
  <si>
    <t>Life cycle of a data path</t>
  </si>
  <si>
    <t>Flush points and payload numbers</t>
  </si>
  <si>
    <t>Max value of Sync_Scan_Window</t>
  </si>
  <si>
    <t>Encryption of BIG's using Broadcast Code</t>
  </si>
  <si>
    <t>L2CAP / 5.2</t>
  </si>
  <si>
    <t>Misc* (core) / 5.2</t>
  </si>
  <si>
    <t>What is the payload counter?</t>
  </si>
  <si>
    <t>HCI-UART / 5.2</t>
  </si>
  <si>
    <t>There are five HCI packet types</t>
  </si>
  <si>
    <t>Mandatory values for NSE</t>
  </si>
  <si>
    <t>Mandatory values for BIG parameters</t>
  </si>
  <si>
    <t>Link Manager / 5.2</t>
  </si>
  <si>
    <t>Resolving List is related to Privacy</t>
  </si>
  <si>
    <t>Defaults for extended scan</t>
  </si>
  <si>
    <t>Missing errata and a typo</t>
  </si>
  <si>
    <t>Integration of erratum 13500</t>
  </si>
  <si>
    <t>Security Manager  / 5.2</t>
  </si>
  <si>
    <t>A typo in Figure 2.3</t>
  </si>
  <si>
    <t>What is the relationship with Table 3.3?</t>
  </si>
  <si>
    <t>SAM-SM or SAM_SM</t>
  </si>
  <si>
    <t>Unused bits in PHY fields</t>
  </si>
  <si>
    <t>General Terminology and Interpretation / 5.2</t>
  </si>
  <si>
    <t>Values not in a specified range</t>
  </si>
  <si>
    <t>Parameter name changes for test PDUs</t>
  </si>
  <si>
    <t>Remove redundant requirements</t>
  </si>
  <si>
    <t>Uses of must</t>
  </si>
  <si>
    <t>Setup ISO Data Path for Master role</t>
  </si>
  <si>
    <t>Fix typo in LLPDU</t>
  </si>
  <si>
    <t>Support for unencrypted BISes</t>
  </si>
  <si>
    <t>Assorted minor editorial changes</t>
  </si>
  <si>
    <t>Order that the PIN code is sent</t>
  </si>
  <si>
    <t>Duplicate requirement</t>
  </si>
  <si>
    <t>Change History / 5.2</t>
  </si>
  <si>
    <t>ECU missing</t>
  </si>
  <si>
    <t>Miscellaneous comments on Sydney r03</t>
  </si>
  <si>
    <t>Add new features to the feature table</t>
  </si>
  <si>
    <t>Referring to wrong section</t>
  </si>
  <si>
    <t>A typo in Figure 2.5</t>
  </si>
  <si>
    <t>Clarify parsing</t>
  </si>
  <si>
    <t>Loss of backwards compatibility</t>
  </si>
  <si>
    <t>Remove duplicate support requirements</t>
  </si>
  <si>
    <t>Link Layer / 5.2</t>
  </si>
  <si>
    <t>Potentially incorrect wording</t>
  </si>
  <si>
    <t>LE Power Control features support</t>
  </si>
  <si>
    <t>HCI / 5.2</t>
  </si>
  <si>
    <t>Please clarify behavior on CIS cancel</t>
  </si>
  <si>
    <t>Bad grammar</t>
  </si>
  <si>
    <t>Reference by page</t>
  </si>
  <si>
    <t>Mixing Spec Versions / 5.2</t>
  </si>
  <si>
    <t>Host Support for BISes</t>
  </si>
  <si>
    <t>Data Types / CSSv9</t>
  </si>
  <si>
    <t>LE Physical Layer / 5.2</t>
  </si>
  <si>
    <t>Make the use of can vs may consistent</t>
  </si>
  <si>
    <t>Editorial fixes</t>
  </si>
  <si>
    <t>Reorder table 3.1</t>
  </si>
  <si>
    <t>Visual problems in tables 3.2 and 3.4</t>
  </si>
  <si>
    <t>Unexpected spaces</t>
  </si>
  <si>
    <t>Use of must</t>
  </si>
  <si>
    <t>Missing paragraph break</t>
  </si>
  <si>
    <t>Vertical alignment</t>
  </si>
  <si>
    <t>MSC / 5.2</t>
  </si>
  <si>
    <t>Bad requirement for SSP</t>
  </si>
  <si>
    <t>Editorial fixes in encryption text</t>
  </si>
  <si>
    <t>Subscripting</t>
  </si>
  <si>
    <t>Security / 5.2</t>
  </si>
  <si>
    <t>Typo in (EQ 15)</t>
  </si>
  <si>
    <t>Correct error reference</t>
  </si>
  <si>
    <t/>
  </si>
  <si>
    <t>Eliminate the percent operator</t>
  </si>
  <si>
    <t>Table 4.21 caption</t>
  </si>
  <si>
    <t>Integration of erratum 15117</t>
  </si>
  <si>
    <t>Lacunae from erratum 11695</t>
  </si>
  <si>
    <t>Coloured text</t>
  </si>
  <si>
    <t>Lacunae in erratum 12348</t>
  </si>
  <si>
    <t>Dashed line in figure 4.1</t>
  </si>
  <si>
    <t>Strange symbols</t>
  </si>
  <si>
    <t>Figure infelicities</t>
  </si>
  <si>
    <t>Spelling error</t>
  </si>
  <si>
    <t>What is a chapter?</t>
  </si>
  <si>
    <t>Blob in figure 4.4</t>
  </si>
  <si>
    <t>Unit key lacuna</t>
  </si>
  <si>
    <t>Missing underscore</t>
  </si>
  <si>
    <t>Mangled command name</t>
  </si>
  <si>
    <t>Change a LTK to an LTK in two places</t>
  </si>
  <si>
    <t>Core Terminology Changes / Change Request</t>
  </si>
  <si>
    <t>Eliminate master-slave phrasing</t>
  </si>
  <si>
    <t>Encryption key size terms</t>
  </si>
  <si>
    <t>Change White List to Filter Accept List</t>
  </si>
  <si>
    <t>Clock accuracy terminology</t>
  </si>
  <si>
    <t>Simple suffix changes</t>
  </si>
  <si>
    <t>Security terminology consistency</t>
  </si>
  <si>
    <t>Rename Master Table of Contents</t>
  </si>
  <si>
    <t>CIS directional parameters</t>
  </si>
  <si>
    <t>LL_PHY_UPDATE_IND fields</t>
  </si>
  <si>
    <t>Legacy pairing terminology</t>
  </si>
  <si>
    <t>Change CSB to CPB</t>
  </si>
  <si>
    <t>Change ASB to APB</t>
  </si>
  <si>
    <t>Nonce terms</t>
  </si>
  <si>
    <t>History and lookup table</t>
  </si>
  <si>
    <t>Miscellaneous corrections</t>
  </si>
  <si>
    <t>AMP key MKAMP</t>
  </si>
  <si>
    <t>Apply erratum 14655 to GAP</t>
  </si>
  <si>
    <t>Mysterious dashed lines</t>
  </si>
  <si>
    <t>Square wave in figure 1.2</t>
  </si>
  <si>
    <t>Missing Heading</t>
  </si>
  <si>
    <t>Change HCO to HCI</t>
  </si>
  <si>
    <t>Incorrect command name</t>
  </si>
  <si>
    <t>Memory Full error code does not exist</t>
  </si>
  <si>
    <t>Erratum 15031 cosmetic changes</t>
  </si>
  <si>
    <t>Show bit 25 in green?</t>
  </si>
  <si>
    <t>Unnecessary referemce to LE</t>
  </si>
  <si>
    <t>Minor changes</t>
  </si>
  <si>
    <t>Central clock</t>
  </si>
  <si>
    <t>Consistent notation for comparisons</t>
  </si>
  <si>
    <t>Circular reference</t>
  </si>
  <si>
    <t>Minor editorial changes</t>
  </si>
  <si>
    <t>Procedure should be lower case</t>
  </si>
  <si>
    <t>Update revision history for Sydney</t>
  </si>
  <si>
    <t>Add contributors to Sydney</t>
  </si>
  <si>
    <t>Typo in parameter name</t>
  </si>
  <si>
    <t>Table style error</t>
  </si>
  <si>
    <t>Minor editorial issues</t>
  </si>
  <si>
    <t>Minor wording changes</t>
  </si>
  <si>
    <t>Inconsistent concatenation operator</t>
  </si>
  <si>
    <t>Better terminology for CIS states</t>
  </si>
  <si>
    <t>Explain the use of LL_REJECT_EXT_IND</t>
  </si>
  <si>
    <t>Definitions of masterSCA and slaveSCA</t>
  </si>
  <si>
    <t>Fix miscellaneous typos</t>
  </si>
  <si>
    <t>Minimum value of  BN and Max_SDU</t>
  </si>
  <si>
    <t>Architecture / 5.2</t>
  </si>
  <si>
    <t>Reserving a logical transport</t>
  </si>
  <si>
    <t>What is Key_Flag?</t>
  </si>
  <si>
    <t>Multiple White Lists</t>
  </si>
  <si>
    <t>Clarify the meaning of not complete data</t>
  </si>
  <si>
    <t>Data Length Extension and CTEs</t>
  </si>
  <si>
    <t>When does responder accept pairing</t>
  </si>
  <si>
    <t>Consistency changes</t>
  </si>
  <si>
    <t>Are all bits required to be set?</t>
  </si>
  <si>
    <t>States of CIG and CIS</t>
  </si>
  <si>
    <t>802.11 PAL / 5.2</t>
  </si>
  <si>
    <t>Missing heading</t>
  </si>
  <si>
    <t>Use of shall in informative text</t>
  </si>
  <si>
    <t>Sample Data / 5.2</t>
  </si>
  <si>
    <t>Provide CLK values</t>
  </si>
  <si>
    <t>Failure and no-change cases missed</t>
  </si>
  <si>
    <t>Mandatory requirements for LE Controller</t>
  </si>
  <si>
    <t>Wrong PDU names</t>
  </si>
  <si>
    <t>Delete the word</t>
  </si>
  <si>
    <t>Unclear</t>
  </si>
  <si>
    <t>Move formats to Assigned Values</t>
  </si>
  <si>
    <t>Extended inquiry length</t>
  </si>
  <si>
    <t>Reject is not accept</t>
  </si>
  <si>
    <t>Get RSSI for Rx ISO packet</t>
  </si>
  <si>
    <t>Confusion in Sync Packet Offset</t>
  </si>
  <si>
    <t>Move 6.30 to Section 8</t>
  </si>
  <si>
    <t>The reference text is incorrect</t>
  </si>
  <si>
    <t>Lacuna from erratum 14824</t>
  </si>
  <si>
    <t>Relating PayloadNumber with EventCounter</t>
  </si>
  <si>
    <t>Lacuna from erratum 13527</t>
  </si>
  <si>
    <t>Max Transport latency of 0 is invalid</t>
  </si>
  <si>
    <t>1, 1, 1, 1</t>
  </si>
  <si>
    <t>1, 1</t>
  </si>
  <si>
    <t>4, 4</t>
  </si>
  <si>
    <t>4, 4, 3</t>
  </si>
  <si>
    <t>4, 3</t>
  </si>
  <si>
    <t>2, 3</t>
  </si>
  <si>
    <t>1, 1, 1</t>
  </si>
  <si>
    <t>Editorial</t>
  </si>
  <si>
    <t>Tech/Low</t>
  </si>
  <si>
    <t>Address BARB comments on Sydney r06</t>
  </si>
  <si>
    <t>Tech/Med</t>
  </si>
  <si>
    <t>Duplicated requirements in L2CAP and GAP</t>
  </si>
  <si>
    <t>Allow any RPA in LL_PERIODIC_SYNC_IND</t>
  </si>
  <si>
    <t>Tech/High</t>
  </si>
  <si>
    <t>MSC / 5.2</t>
  </si>
  <si>
    <t>Compliance / 5.2</t>
  </si>
  <si>
    <t>Add codec to the list of specifications to which one can qualify a Codec</t>
  </si>
  <si>
    <t>Change Type</t>
  </si>
  <si>
    <t>Change time-out to timeout</t>
  </si>
  <si>
    <t>Change Contributors to Acknowledgements</t>
  </si>
  <si>
    <t>Eliminate PMP</t>
  </si>
  <si>
    <t>New text proposed by E14655 is not clear</t>
  </si>
  <si>
    <t>Missing space</t>
  </si>
  <si>
    <t>Wrong case</t>
  </si>
  <si>
    <t>Core Bulk Editorial / Change Request</t>
  </si>
  <si>
    <t>Missing units</t>
  </si>
  <si>
    <t>Missing table number</t>
  </si>
  <si>
    <t>LE-frame is now K-frame</t>
  </si>
  <si>
    <t>Bad links</t>
  </si>
  <si>
    <t>Multiple errors in figure</t>
  </si>
  <si>
    <t>Space before parentheses</t>
  </si>
  <si>
    <t>Remove appendix A</t>
  </si>
  <si>
    <t>Change deprecated to removed</t>
  </si>
  <si>
    <t>Remove spurious quote</t>
  </si>
  <si>
    <t>Spurious parenthesis</t>
  </si>
  <si>
    <t>Duplicate handles when creating CISes</t>
  </si>
  <si>
    <t>Rewrite of HCI 1 and 5.1 material</t>
  </si>
  <si>
    <t>How many peripherals in an LE piconet</t>
  </si>
  <si>
    <t>Address BARB comments on Sydney r07</t>
  </si>
  <si>
    <t>Address SIG legal comments on Sydney r06</t>
  </si>
  <si>
    <t>TSE Status</t>
  </si>
  <si>
    <t>What does legacy scanning scan for?</t>
  </si>
  <si>
    <t>Wrong requirements for legacy PDUs</t>
  </si>
  <si>
    <t>Remove redundancies</t>
  </si>
  <si>
    <t>Spurious underscore</t>
  </si>
  <si>
    <t>Reporting</t>
  </si>
  <si>
    <t>Clarify that the host starts active or passive scanning</t>
  </si>
  <si>
    <t>Wrong requirments wording?</t>
  </si>
  <si>
    <t>EATT should use the same SDP Protocol Identifier as ATT</t>
  </si>
  <si>
    <t>Eliminate Page Scan Mode parameter</t>
  </si>
  <si>
    <t>Supporting LE Transmitter Test command v3 when v4 is supported</t>
  </si>
  <si>
    <t>Can ACL Data Packet Length return 0 in HCI Read Buffer Size comamnd?</t>
  </si>
  <si>
    <t>NESN sent by the Peripheral on the last sub-event before flush timeout</t>
  </si>
  <si>
    <t>Can't have two fragmetns of the same SDU in the same PDU</t>
  </si>
  <si>
    <t>Are higher layer error codes allowed as a response to a ATT_READ_REQ</t>
  </si>
  <si>
    <t>Unframed PDU - Numer of fragments per SDU</t>
  </si>
  <si>
    <t>Allow codec to be optionally allowed in the Controller Subsystem Product</t>
  </si>
  <si>
    <t>The Remote device supports SSP? decision needs to be moved in GAP Figure 5.5</t>
  </si>
  <si>
    <t>Clarify which LMPs can be sent on the APB-C logical link</t>
  </si>
  <si>
    <t>Clarify that CIDs can only be used on the logical link listed against them</t>
  </si>
  <si>
    <t>Second ATT request from change-unaware connected client using multiple ATT bearer</t>
  </si>
  <si>
    <t>LE Set CIG Parameter values for CIS count</t>
  </si>
  <si>
    <t>Clarify if create BIG RTN parameter can be ignored or not</t>
  </si>
  <si>
    <t>When picking Framed PDUs recommend that the controller does not segment SDUs</t>
  </si>
  <si>
    <t>General recommendations to not accept a commitment value that you sent or an all zero link key</t>
  </si>
  <si>
    <t>General recommendations to not accept a connection to or from your own BD_ADDR</t>
  </si>
  <si>
    <t>Received public key is identical to the own public key</t>
  </si>
  <si>
    <t>Clarify presence of the Time_Stamp for framed mode</t>
  </si>
  <si>
    <t>The current specification forces the use of  inferior random numbers</t>
  </si>
  <si>
    <t>Ambiguity on the host on the established status of the ACL</t>
  </si>
  <si>
    <t>The terms current MTU and current MPS can be confusing</t>
  </si>
  <si>
    <t>Why does a temporary key need three Peripherals?</t>
  </si>
  <si>
    <t>Delete the first paragraph in both these sections?</t>
  </si>
  <si>
    <t>E11927 follow up: some text does not apply to LE</t>
  </si>
  <si>
    <t>Requirements of Transport_Latency fields in LE CIS Established event</t>
  </si>
  <si>
    <t>Advertising intervals of 40.96 seconds and above</t>
  </si>
  <si>
    <t>Which Termination procedure may be initiated at any time?</t>
  </si>
  <si>
    <t>Clean-up of uses of normative and informative</t>
  </si>
  <si>
    <t>Typo about Advertising DID cache (see Section 4.3.3)</t>
  </si>
  <si>
    <t>Connectable and Scannable Advertising PDU types</t>
  </si>
  <si>
    <t>Standardize the meaning of a pending command</t>
  </si>
  <si>
    <t>Problems with the Selective Connection Establishment procedure</t>
  </si>
  <si>
    <t>Recommend or require user interaction before starting the pairing procedure</t>
  </si>
  <si>
    <t>Client handling of GATT indications and notifications</t>
  </si>
  <si>
    <t>Clarify that a Command Disallowed error code can be returned when the connection can no longer be cancelled</t>
  </si>
  <si>
    <t>Source, Destination CID dynamically allocated range and references</t>
  </si>
  <si>
    <t>Power control delta requested is higher than maximum supported power level</t>
  </si>
  <si>
    <t>Clarifications about Cross-Transport Key Derivation</t>
  </si>
  <si>
    <t>Conflict between CTE request and PHY update</t>
  </si>
  <si>
    <t>Table 4.3 PHY Types should be Bit not Value</t>
  </si>
  <si>
    <t>Disallowed to be a broadcaster and a receiver at the same time?</t>
  </si>
  <si>
    <t>Section 10.2 is written assuming the LE security model, not BR/EDR</t>
  </si>
  <si>
    <t>Enhanced Credit Based Flow Control mode not mentioned in GAP security sections</t>
  </si>
  <si>
    <t>Constant Tone Extension request during PHY Update Procedure to Coded</t>
  </si>
  <si>
    <t>Conditional C108 for Set MWS Channel Parameters</t>
  </si>
  <si>
    <t>Advertiser_Address_Type parameter description</t>
  </si>
  <si>
    <t>Classification isn't just radio environment</t>
  </si>
  <si>
    <t>Behavior when Controller Does Not Have Public Device Address</t>
  </si>
  <si>
    <t>Unenhanced ATT bearer not mandatory to support if you support Enhanced ATT bearer on BR/EDR</t>
  </si>
  <si>
    <t>Clarify the use of Framed PDUs in a CIG and on a bidirectional CIS</t>
  </si>
  <si>
    <t>Connection handle of Path Loss Reporting Parameters Command</t>
  </si>
  <si>
    <t>Can an invalid packet establish an ACL connection?</t>
  </si>
  <si>
    <t>Allow or recommend the Controller to adjust RSSI per frequency</t>
  </si>
  <si>
    <t>Allow or recommend the Controller to adjust Tx Power Level per frequency</t>
  </si>
  <si>
    <t>Error code for Path Loss Enable when Remote TX_Power level is not available</t>
  </si>
  <si>
    <t>Remove reference to the Bluetooth Brand Usage Guide</t>
  </si>
  <si>
    <t>Simultaneous_LE_Host parameter should be ignored in HCI_Write_LE_Host_Support</t>
  </si>
  <si>
    <t>Clarification regarding the BIGinfo advertising report event generation</t>
  </si>
  <si>
    <t>Disallow or discourage caching of remote authentication status</t>
  </si>
  <si>
    <t>Clarify that this event is only generated on the initiator of the authentication</t>
  </si>
  <si>
    <t>E13336 followup: encryption type should be checked each time</t>
  </si>
  <si>
    <t>Wrong condition for C36 LE Set Host Channel Classification Command</t>
  </si>
  <si>
    <t>Database Out Of Sync is Valid Error Code for ATT_READ_BY_TYPE_REQ</t>
  </si>
  <si>
    <t>Does any type of packet include ID and FHS?</t>
  </si>
  <si>
    <t>One of key generation method recommendations is wrong</t>
  </si>
  <si>
    <t>Setting multiple PHY bits allowed in Power Change Indication</t>
  </si>
  <si>
    <t>Error code when invalid BIG parameters are sent</t>
  </si>
  <si>
    <t>Assuming encryption when arranging multiple CISes</t>
  </si>
  <si>
    <t>Using prior peer TX_power available in local controller</t>
  </si>
  <si>
    <t>How to increment expected SDU counter when missing PDUs ?</t>
  </si>
  <si>
    <t>What happens to Connection_Handle upon failure after HCI_LE_CIS_Request?</t>
  </si>
  <si>
    <t>(Enh)_Conn_Complete immediately followed by Advertising_Set_Terminated</t>
  </si>
  <si>
    <t>Clarifying Supervision timeout during connection setup</t>
  </si>
  <si>
    <t>ambiguity around v1 local supported codecs command</t>
  </si>
  <si>
    <t>Unclear how ISO_Data_Packet_Length parameter relates to HCI ISO Data packet</t>
  </si>
  <si>
    <t>attribute handle range-based methods and Database Out Of Sync</t>
  </si>
  <si>
    <t>How are transmit test mode and receive test mode syncrhonized</t>
  </si>
  <si>
    <t>Which BIS PDU header bits are allowed to change in retransmissions?</t>
  </si>
  <si>
    <t>Incorrect description of transport latencies</t>
  </si>
  <si>
    <t>Is an attribute value device wide or client specific per default</t>
  </si>
  <si>
    <t>Slave should not be required to listen at every anchor point</t>
  </si>
  <si>
    <t>If Result is non-zero most of the fields should be ignored</t>
  </si>
  <si>
    <t>LE_Set_Transmit_Power_Reporting_Enable Name Typo</t>
  </si>
  <si>
    <t>No requirement that Interval_Min is less than Interval_Max</t>
  </si>
  <si>
    <t>What are the default periodic advertising parameters?</t>
  </si>
  <si>
    <t>A hyperlink error on Core 5.2, Vol 6, Part D, Section 6.27</t>
  </si>
  <si>
    <t>What happens to pending LMP transactions at the end of a role switch?</t>
  </si>
  <si>
    <t>Sweyntooth: General recommendations for dealing with wrong length PDUs</t>
  </si>
  <si>
    <t>Clarify application of Direct_Address_Type values</t>
  </si>
  <si>
    <t>Clarify that only Master role HCI_LE_*Connection_Complete events complete the command</t>
  </si>
  <si>
    <t>CIS connection handle and data path lifetime on the slave</t>
  </si>
  <si>
    <t>Packet_Status_Flag consideration for SDU fragments</t>
  </si>
  <si>
    <t>L2CAP_CREDIT_BASED_CONNECTION_RSP does not contain a Result code for Connection Pending</t>
  </si>
  <si>
    <t>Feature bits not valid from controller to controller</t>
  </si>
  <si>
    <t>Incorrect value for SDU_Interval parameter</t>
  </si>
  <si>
    <t>Incorrect CIS_Count parameter maximum value</t>
  </si>
  <si>
    <t>Is the reference point definition accurate?</t>
  </si>
  <si>
    <t>Clarify LE Add Device To Resolving List command behavior if device already exists on a list</t>
  </si>
  <si>
    <t>Bluetooth Base UUID is defined here, not in Assigned Numbers</t>
  </si>
  <si>
    <t>Clarify that a device can reject role switch in the middle of legacy/secure authentication</t>
  </si>
  <si>
    <t>Allow LE Secure Connections on level 2 and 3</t>
  </si>
  <si>
    <t>Clarification of the conditions under which error code</t>
  </si>
  <si>
    <t>Reset of SMP protocol timer in case of failed Slave Security Request</t>
  </si>
  <si>
    <t>IRK Distribution policy for a Slave using RPA when Master doesn't request IRK</t>
  </si>
  <si>
    <t>LL_POWER_CONTROL_RSP only support one PHY at the time</t>
  </si>
  <si>
    <t>Ambiguous definition of RTN_M_To_S and RTN_S_To_M</t>
  </si>
  <si>
    <t>Parameters should conform to their descriptions</t>
  </si>
  <si>
    <t>What is Isochronous Channels Host Support?</t>
  </si>
  <si>
    <t>Can LE Read Channel Map command be used on CIS/BIS</t>
  </si>
  <si>
    <t>Check devices are using the right authentication</t>
  </si>
  <si>
    <t>LE Set CIG Parameters Test command : Some values should be ignored if BN is 0</t>
  </si>
  <si>
    <t>Incorrect Property field referred to describe.</t>
  </si>
  <si>
    <t>TSE 15291 Rejected</t>
  </si>
  <si>
    <t>TSE 16367 Rejected</t>
  </si>
  <si>
    <t>Clarification of re-bond after detecting Lost Bond</t>
  </si>
  <si>
    <t>Ambiguous text in Architecture Section on Primary vs Secondary services</t>
  </si>
  <si>
    <t>Accept Synchronous Connection request with unmatching packet types</t>
  </si>
  <si>
    <t>Clarification for the ADVA field in the adv pdu for privacy</t>
  </si>
  <si>
    <t>ChSel bit clarification for all AE related Avd Packet in the Adv PDU header</t>
  </si>
  <si>
    <t>syncEventCounter does not match description</t>
  </si>
  <si>
    <t>Requirements on the Host when the resolution procedure fails, seems overly restrictive</t>
  </si>
  <si>
    <t>Clarify if Sync Handles are assigned from the same number space as Connection Handles or not</t>
  </si>
  <si>
    <t>Clarification on when advertising is disabled when a connection is created</t>
  </si>
  <si>
    <t>Mention of 'initiator addres' for directed advertisement</t>
  </si>
  <si>
    <t>Inconsistency in section Vol 4, Part E, 7.7.65.7 and Vol 6, Part B, 4.5.10.</t>
  </si>
  <si>
    <t>Clarify that assigned handles aren't reused</t>
  </si>
  <si>
    <t>Contradictory statements on encryption key size reduction</t>
  </si>
  <si>
    <t>Is role switch allowed immediately after paging</t>
  </si>
  <si>
    <t>BARB comments on Isochronous Channels MSCs</t>
  </si>
  <si>
    <t>How many opportunities to establish an ACL?</t>
  </si>
  <si>
    <t>Clarify ambiguity when issuing LE Write RF Path Compensation command</t>
  </si>
  <si>
    <t>Clarification regarding random address initialization.</t>
  </si>
  <si>
    <t>Some Attribute Value sizes are not defined</t>
  </si>
  <si>
    <t>Clarify if only one method should be used for synchronization reference calculation.</t>
  </si>
  <si>
    <t>Features exchange is needed before Sync Transfer procedure</t>
  </si>
  <si>
    <t>Are TX bandwidth and RX bandwidth absolutes or maxima?</t>
  </si>
  <si>
    <t>Inconsistent requirements for HCI_Read_Buffer command</t>
  </si>
  <si>
    <t>HCI_LE_Read_Buffer_Size without Connection State</t>
  </si>
  <si>
    <t>Role change during Cross-transport key generation</t>
  </si>
  <si>
    <t>Add Isochronous Adaptation Layer to LE Core Configuration requirements (table 4.7) and BR and LE Combined Core Configuration Controller requirements (table 4.9)</t>
  </si>
  <si>
    <t>Number of fragments to be generated by Each SDU in case of Unframed PDUs</t>
  </si>
  <si>
    <t>Clarify what the data path ID value of 0xFF means in the context of the LE Setup ISO Data Path command</t>
  </si>
  <si>
    <t>Does the Link Layer need to scan on the same primary advertising channel index in a scan window?</t>
  </si>
  <si>
    <t>Clarification on SDU length and ISO_Data_Load header field</t>
  </si>
  <si>
    <t>EATT on LE doesn't require checking Server Supported Features</t>
  </si>
  <si>
    <t>Clarify that role switches don't affect secure authentication</t>
  </si>
  <si>
    <t>SMP Timeout does not specify reset on reception of packet</t>
  </si>
  <si>
    <t>Fix heading typography to enable hyperlinks in currently unlinked TOC entries</t>
  </si>
  <si>
    <t>CISes in a piconet</t>
  </si>
  <si>
    <t>What exactly does MPS count</t>
  </si>
  <si>
    <t>Max_PDU formulate too optimistic</t>
  </si>
  <si>
    <t>C.2.2.3 and C.2.2.4 seem to be in conflict with each other</t>
  </si>
  <si>
    <t>Clarification w.r.t. checking privacy mode of resolving list entries</t>
  </si>
  <si>
    <t>Make it complete the sources of InitA</t>
  </si>
  <si>
    <t>Sub-state for checking window-widening value</t>
  </si>
  <si>
    <t>LE Power Class 1 feature support</t>
  </si>
  <si>
    <t>Requirements on host in the Link Layer</t>
  </si>
  <si>
    <t>Remove redundancies and unclear text from power class description</t>
  </si>
  <si>
    <t>Radio / 5.2</t>
  </si>
  <si>
    <t>Range of Max_Switching_Pattern_Length</t>
  </si>
  <si>
    <t>Wrong PDU?</t>
  </si>
  <si>
    <t>Handling Indications before Security Requirements are met</t>
  </si>
  <si>
    <t>clarifying the definition of a GATT Client</t>
  </si>
  <si>
    <t>Fixed channel CIDs are the same at each end</t>
  </si>
  <si>
    <t>Clarify that an ATT client and ATT server can share a bearer</t>
  </si>
  <si>
    <t>There is no valid condition for rejecting pairing from responder.</t>
  </si>
  <si>
    <t>Tech/Critical</t>
  </si>
  <si>
    <t>Clarify what value Selected_TX_Power should return</t>
  </si>
  <si>
    <t>What is an active bearer?</t>
  </si>
  <si>
    <t>How long is the AD type field?</t>
  </si>
  <si>
    <t>Properties of associated ACL and CIS</t>
  </si>
  <si>
    <t>Is FCS mandatory or forbidden in Retransmission and Flow Control modes</t>
  </si>
  <si>
    <t>Tidy the wording</t>
  </si>
  <si>
    <t>About the phrase "If Link Layer privacy has been enabled"</t>
  </si>
  <si>
    <t>NESN sent by the Peripheral on the last sub-event before flush timeout #2</t>
  </si>
  <si>
    <t>Characteristic or not Characteristic</t>
  </si>
  <si>
    <t>Need clarification</t>
  </si>
  <si>
    <t>Use correct types</t>
  </si>
  <si>
    <t>Adjust wording and add MSC for Peripheral case</t>
  </si>
  <si>
    <t>Typo in Figures 5.2 and 5.3 connInte(r)val</t>
  </si>
  <si>
    <t>Explain the effects of non-consecutive payloads</t>
  </si>
  <si>
    <t>Lacunae from erratum 16480</t>
  </si>
  <si>
    <t>Documentation errors in Core_5.2 specifications</t>
  </si>
  <si>
    <t>What does no offsets mean?</t>
  </si>
  <si>
    <t>Clean up LE encryption text</t>
  </si>
  <si>
    <t>LE Link layer Security / 5.2</t>
  </si>
  <si>
    <t>TSE 16134 Rejected</t>
  </si>
  <si>
    <t>2, 2</t>
  </si>
  <si>
    <t>Change the private address when the advertising data changes</t>
  </si>
  <si>
    <t>Use standard bitfield notation in encryption</t>
  </si>
  <si>
    <t>Periodic Advertising Report Generation and CTE_Count</t>
  </si>
  <si>
    <t>Make the events generated section more verbose</t>
  </si>
  <si>
    <t>Consistent description of arrayed parameters</t>
  </si>
  <si>
    <t>Translation table for LMP parameter name changes</t>
  </si>
  <si>
    <t>Consistent description of version numbers</t>
  </si>
  <si>
    <t>Consider adding a Change/Version History to the CSS</t>
  </si>
  <si>
    <t>References to general and specific object types</t>
  </si>
  <si>
    <t>Correct a couple of misspelt command and event names</t>
  </si>
  <si>
    <t>LE BIG Create Sync Complete does not exist</t>
  </si>
  <si>
    <t>Connectionless Peripheral Broadcast terminology</t>
  </si>
  <si>
    <t>Master/slave terminology changes for CSS, phase 1</t>
  </si>
  <si>
    <t>Master/slave terminology changes for Vol 3, phase 1</t>
  </si>
  <si>
    <t>Master/slave terminology changes for Vol 0, phase 1</t>
  </si>
  <si>
    <t>Master/slave terminology changes for Vol 1, phase 1</t>
  </si>
  <si>
    <t>Master/slave terminology changes for Vol 2, phase 1</t>
  </si>
  <si>
    <t>Master/slave terminology changes for Vol 4, phase 1</t>
  </si>
  <si>
    <t>Master/slave terminology changes for Vol 5, phase 1</t>
  </si>
  <si>
    <t>Master/slave terminology changes for Vol 6, phase 1</t>
  </si>
  <si>
    <t>Master/slave terminology changes for Vol 7, phase 1</t>
  </si>
  <si>
    <t>Acceptable terminology changes in figures and equations</t>
  </si>
  <si>
    <t>Acceptable language for hopping sequence parameters</t>
  </si>
  <si>
    <t>Clean up terminology in BR/EDR encryption</t>
  </si>
  <si>
    <t>Sleep clock accuracy and slave clock accuracy</t>
  </si>
  <si>
    <t>Change BIS Control PDUs to BIG Control PDUs</t>
  </si>
  <si>
    <t>Elimination of note that</t>
  </si>
  <si>
    <t>Rename connection latency to Peripheral latency</t>
  </si>
  <si>
    <t>Use less ambigous terminology in role switch</t>
  </si>
  <si>
    <t>Set union operator used to mean concatenation</t>
  </si>
  <si>
    <t>Remove note about HCI_Command_Complete events</t>
  </si>
  <si>
    <t>Capitalization of HCI Synchronous Data packet and related items</t>
  </si>
  <si>
    <t>Typo: cisPayloadCounter vs cisPayloadNumber</t>
  </si>
  <si>
    <t>Misspleding</t>
  </si>
  <si>
    <t>Wrong references to L2CAP timers</t>
  </si>
  <si>
    <t>Error in erratum 10532</t>
  </si>
  <si>
    <t>Accidence</t>
  </si>
  <si>
    <t>Formatting problem</t>
  </si>
  <si>
    <t>Twos complement</t>
  </si>
  <si>
    <t>Spurious comma</t>
  </si>
  <si>
    <t>Unclear error handling when a privacy enabled device distributes an IRK value that the host already has in its database.</t>
  </si>
  <si>
    <t>Ranges in the Style Guide</t>
  </si>
  <si>
    <t>Misc* (core) / 5.0</t>
  </si>
  <si>
    <t>Drift calculation on receiver (3)</t>
  </si>
  <si>
    <t>Need to determine correct capitalization of baseband</t>
  </si>
  <si>
    <t>Missing Class of Data description for Advertising Links</t>
  </si>
  <si>
    <t>Architecture / 5.0</t>
  </si>
  <si>
    <t>Numeric and mathematical conventions need to be documented</t>
  </si>
  <si>
    <t>General Terminology and Interpretation / 5.0</t>
  </si>
  <si>
    <t>Generic Attribute Protocol (GATT) / 5.1</t>
  </si>
  <si>
    <t>Generic Attribute Protocol (GATT) / 5.2</t>
  </si>
  <si>
    <t>Security Manager Specification / 5.2</t>
  </si>
  <si>
    <t>Attribute Protocol (ATT) / 5.2</t>
  </si>
  <si>
    <t>Are all ATT Attributes available on all bearers?</t>
  </si>
  <si>
    <t>Slave_offset v clock_offset</t>
  </si>
  <si>
    <t>Further clarifications about supporting BR/EDR Enhanced bearers</t>
  </si>
  <si>
    <t>Ambiguity on TX time stamp</t>
  </si>
  <si>
    <t>Terminating a pending establishment of CIS</t>
  </si>
  <si>
    <t>Clarification on low duty cycle and high duty cycle time out</t>
  </si>
  <si>
    <t>Missing error code value on</t>
  </si>
  <si>
    <t>Typo in 4.E.7.7.65.25 LE CIS Established event</t>
  </si>
  <si>
    <t>Revisit E11769: Controller shall respond with command?</t>
  </si>
  <si>
    <t>Incorrect event name</t>
  </si>
  <si>
    <t>Remove reference to potential CIS</t>
  </si>
  <si>
    <t>Incorrect synchronization reference</t>
  </si>
  <si>
    <t>Normative language needed for Cross Transport Key Derivation key size</t>
  </si>
  <si>
    <t>Change "are permitted to" to "may"</t>
  </si>
  <si>
    <t>Implicit requirements in Mathematical Conventions</t>
  </si>
  <si>
    <t>Rephrase reference to "informative"</t>
  </si>
  <si>
    <t>Unclear pronouns</t>
  </si>
  <si>
    <t>Rephrase reference to exceptions</t>
  </si>
  <si>
    <t>Reference to MIBenum values</t>
  </si>
  <si>
    <t>Address BARB review comments on erratum 16479</t>
  </si>
  <si>
    <t>Typo in HCI command name</t>
  </si>
  <si>
    <t>Returning zero for total number of HCI Synchronous Data packets or their maximum size</t>
  </si>
  <si>
    <t>Remove Examples section</t>
  </si>
  <si>
    <t>Link to IEEE Style Guide does not work</t>
  </si>
  <si>
    <t>Continuous radio receiving time</t>
  </si>
  <si>
    <t>Technical</t>
  </si>
  <si>
    <t>Can part of a received advertising PDU be thrown away?</t>
  </si>
  <si>
    <t>PBD is misspelt as PDB</t>
  </si>
  <si>
    <t>BARB review comments</t>
  </si>
  <si>
    <t>Indentation of a sub-bullet point</t>
  </si>
  <si>
    <t>Sydney legal delta review</t>
  </si>
  <si>
    <t>Lacuna from erratum 15586</t>
  </si>
  <si>
    <t>Generic Attribute Protocol (GATT) / 5.2</t>
  </si>
  <si>
    <t>TSE 15629 Rejected</t>
  </si>
  <si>
    <t>TSE 12957 Rejected</t>
  </si>
  <si>
    <t>TSE 13539 Rejected</t>
  </si>
  <si>
    <t>TSE 14702 Rejected</t>
  </si>
  <si>
    <t>TSE 13540 Rejected</t>
  </si>
  <si>
    <t>TSE 15600 Rejected</t>
  </si>
  <si>
    <t>TSE 12807 Rejected</t>
  </si>
  <si>
    <t>TSE 15965 Rejected</t>
  </si>
  <si>
    <t>TSE 12732 Rejected</t>
  </si>
  <si>
    <t>N/A, 4</t>
  </si>
  <si>
    <t>3,3</t>
  </si>
  <si>
    <t>5.2 Editorial / Change Request</t>
  </si>
  <si>
    <t>5.3 Editorial / Draft V1.0</t>
  </si>
  <si>
    <t>5.3 Editorial / Change Request</t>
  </si>
  <si>
    <t>5.3 Editorial / Change Request</t>
  </si>
  <si>
    <t>5.3 Editorial / Draft V1.0</t>
  </si>
  <si>
    <t>5.3 Editorial / Prototype Spec</t>
  </si>
  <si>
    <t>5.3 Editorial Prototype Spec</t>
  </si>
  <si>
    <t>5.3 Functional / Change Request</t>
  </si>
  <si>
    <t>5.3 Functional / Change Request</t>
  </si>
  <si>
    <t>Figure correction</t>
  </si>
  <si>
    <t>Relation between timestamp and SDU sync reference</t>
  </si>
  <si>
    <t>Standardize capitalization of Identity Address</t>
  </si>
  <si>
    <t>This Document is an informative supplement to the TCRL and Test Documents to help track integrated errata into specifications in maintenance and enhancements.</t>
  </si>
  <si>
    <t xml:space="preserve">Release date: </t>
  </si>
  <si>
    <t>Revision History</t>
  </si>
  <si>
    <t>Version</t>
  </si>
  <si>
    <t>Date</t>
  </si>
  <si>
    <t>Changes</t>
  </si>
  <si>
    <t>p0</t>
  </si>
  <si>
    <t>Integrated Errata - Core Test Impact</t>
  </si>
  <si>
    <t>p1</t>
  </si>
  <si>
    <t>Contradictory statements on encryption key size reduction, V2H, 9.4</t>
  </si>
  <si>
    <t>Security</t>
  </si>
  <si>
    <t>Missing basic building block text in V2H, 7.7</t>
  </si>
  <si>
    <t>Correct typo. Change "kink" to "link" in E2</t>
  </si>
  <si>
    <t>Orphan text in A.2.1 Extreme temperatures</t>
  </si>
  <si>
    <t>Radio</t>
  </si>
  <si>
    <t>Legacy authentication request only recognizes PIN code pairing (and not SSP)</t>
  </si>
  <si>
    <t>MSC</t>
  </si>
  <si>
    <t>Mixing Host and Controller HCI versions</t>
  </si>
  <si>
    <t>Mixing Spec Versions</t>
  </si>
  <si>
    <t>Bad references</t>
  </si>
  <si>
    <t>Misc* (core)</t>
  </si>
  <si>
    <t>Inconsistent use of the word "integral"</t>
  </si>
  <si>
    <t>Use of the word "safe"</t>
  </si>
  <si>
    <t>Notes that should be normative statements</t>
  </si>
  <si>
    <t>Use of the second person in Volume 0 Part A</t>
  </si>
  <si>
    <t>Master Table of Contents</t>
  </si>
  <si>
    <t>LMP</t>
  </si>
  <si>
    <t>LMP_clk_adj while LMP_set_AFH pending</t>
  </si>
  <si>
    <t>Nbc not listed in the LMP parameter definitions</t>
  </si>
  <si>
    <t>Clarify if only one method should be used for synchronization reference calculation</t>
  </si>
  <si>
    <t>LL</t>
  </si>
  <si>
    <t>Regression in the fix for erratum 11049 (Packet_Boundary_Flag for a LE Controller)</t>
  </si>
  <si>
    <t>Correct the error code name in 7.8.65 LE Set Extended Scan Enable command</t>
  </si>
  <si>
    <t>Change EventCounter to PeriodicEventCounter in SyncInfo field</t>
  </si>
  <si>
    <t>Active versus sleep clock accuracy</t>
  </si>
  <si>
    <t>syncEventCounter in 2.4.2.27 LL_PERIODIC_SYNC_IND does not match description</t>
  </si>
  <si>
    <t>Define when the Encryption Pause procedure is complete</t>
  </si>
  <si>
    <t>Clarify that address resolution and resolvable address generation can be enabled/disabled independently</t>
  </si>
  <si>
    <t>Clarification regardiing Advertising Channel Index</t>
  </si>
  <si>
    <t>Are all values valid in 2.4.2 LL Control PDU?</t>
  </si>
  <si>
    <t>PHY update when periodic CTE requests are enabled</t>
  </si>
  <si>
    <t>Whitelist search match criteria needs to include address type.</t>
  </si>
  <si>
    <t>When Shall Controller Accept Advertising Packet in Network Privacy Mode</t>
  </si>
  <si>
    <t>A device that receives periodic advertising must support Synchronization State</t>
  </si>
  <si>
    <t>Don't mention unsupported cases individually, when that behavior is already described generally in preceding sections</t>
  </si>
  <si>
    <t>LL_PERIODIC_SYNC_IND PDU sent on the first connection event or before the connection has been established</t>
  </si>
  <si>
    <t>Missing physical description for advertising channel indices</t>
  </si>
  <si>
    <t>Missing synchronization state in PAST</t>
  </si>
  <si>
    <t>AdvA and TargetA address requirements between AUX_CONNECT_REQ and AUX_CONNECT_RSP</t>
  </si>
  <si>
    <t>Allow the ping procedure to be used when it is not supported by the remote device</t>
  </si>
  <si>
    <t>Crossing signals at the start of an encryption enable procedure</t>
  </si>
  <si>
    <t>Correction to Erratum 10818 (Packet_Boundary_Flag for a LE Controller)</t>
  </si>
  <si>
    <t>Create sync command with periodic list filter policy enabled</t>
  </si>
  <si>
    <t>For parameter names with "Octets" or "Time" in them, "Octets" or "Time" do not always appear at the end, as indicated in Table 4.4</t>
  </si>
  <si>
    <t>Time units unclear in 4.5.10 Data PDU length management</t>
  </si>
  <si>
    <t>LE uses "access address", not "access code"</t>
  </si>
  <si>
    <t>Error in sample data in 4.3.2 LL control PDUs</t>
  </si>
  <si>
    <t>LE Sample Data</t>
  </si>
  <si>
    <t>Remove reference to "modes" in "(TDD) scheme is used in both modes"</t>
  </si>
  <si>
    <t>LE PHY</t>
  </si>
  <si>
    <t>Typo in Figure 6.2 CONNECTION UPDATE MSC</t>
  </si>
  <si>
    <t>LE MSC</t>
  </si>
  <si>
    <t>Revise the phrase "in the unlikely event of"</t>
  </si>
  <si>
    <t>LE LL Security</t>
  </si>
  <si>
    <t>What error code should be used for the statement: "The Host shall be notified of the loss of connection due to an authentication failure."</t>
  </si>
  <si>
    <t>Offset 3 of table 2.3 has a size of 13 but has 14 0x00 octets in the value. There should only be 13.</t>
  </si>
  <si>
    <t>Clarify meaning of "MPS"</t>
  </si>
  <si>
    <t>L2CAP</t>
  </si>
  <si>
    <t>Clarification of Long PSMs</t>
  </si>
  <si>
    <t>Clarification of control field</t>
  </si>
  <si>
    <t>There are six L2CAP modes, not five as stated.</t>
  </si>
  <si>
    <t>HCI</t>
  </si>
  <si>
    <t>Missing commas from summary box in 7.8.64 LE Set Extended Scan Parameters command</t>
  </si>
  <si>
    <t>Clarification on when advertising is disabled when an LE connection is created</t>
  </si>
  <si>
    <t>Extend erratum 10987 (Future PHY support) to all commands</t>
  </si>
  <si>
    <t>Private addresses are resolvable in the LE Set Resolvable Private Address Timeout command and in V6B 6.1.</t>
  </si>
  <si>
    <t>Broadcast_Flag description out of date</t>
  </si>
  <si>
    <t>The Encryption Key Refresh Complete event can happen on LE</t>
  </si>
  <si>
    <t>Test Issue incorporated in 12488 (HCI.TS) and 12489 (LL.TS), published with TCRL2019-2</t>
  </si>
  <si>
    <t>Accepted</t>
  </si>
  <si>
    <t>RFU PHY bits and values</t>
  </si>
  <si>
    <t>When can the LE Set Advertising Set Random Address command be issued?</t>
  </si>
  <si>
    <t>LE Set Advertising Set Random Address command has some ambiquity with Connectable Advertising</t>
  </si>
  <si>
    <t>Can't return a negative reply in Remote OOB Data Request event?</t>
  </si>
  <si>
    <t>Can't return a negative reply in IO Capability Request event?</t>
  </si>
  <si>
    <t>Inconsistency between description and table in Read Link Quality command</t>
  </si>
  <si>
    <t>Return parameters size description missing the word "octets" in the size description</t>
  </si>
  <si>
    <t>Array parameters size description missing multiplier "Num_Reports" in LE Directed Advertising Report event</t>
  </si>
  <si>
    <t>HCI parameters sizes should be written consistently</t>
  </si>
  <si>
    <t>Missing parenthesis after "Volume 5" at the end of the Description.</t>
  </si>
  <si>
    <t>Request AOD_CTE when peer not support Antenna Switching during TX?</t>
  </si>
  <si>
    <t>LE Set Random Address is only relevant for setless advertising</t>
  </si>
  <si>
    <t>Channel number range is wrong in LE Connectionless IQ Report event</t>
  </si>
  <si>
    <t>Erratum 11228 (CTE Ignoring Slot_Durations/Length_of_Switching_Pattern/ Antenna_IDs in HCI Commands) solution was wrong</t>
  </si>
  <si>
    <t>Change "the initiator's address" to "TargetA"</t>
  </si>
  <si>
    <t>When should 0x2 or 0x3 be used for Direct address type?</t>
  </si>
  <si>
    <t>Wrong minimum power level for Transmit_Power_Level return parameter</t>
  </si>
  <si>
    <t>LE Read Transmit Power Command summary applies only to advertising packets</t>
  </si>
  <si>
    <t>Are future PHYs unsupported?</t>
  </si>
  <si>
    <t>Anonymous advertising using RPA</t>
  </si>
  <si>
    <t>Clarification of Cross-version issues between Host and Controller</t>
  </si>
  <si>
    <t>Client requirement to enable Service Changed indication</t>
  </si>
  <si>
    <t>GATT</t>
  </si>
  <si>
    <t>Change "Multiple Characteristic Properties" to "Multiple additional properties"</t>
  </si>
  <si>
    <t>Characteristic Broadcast definition is not clear</t>
  </si>
  <si>
    <t>Property should be Properties for bits controlling Notifications and Indications</t>
  </si>
  <si>
    <t>Mention of 'initiator address' for directed advertisement, but PDU contains TargetA, not InitA.</t>
  </si>
  <si>
    <t>GAP</t>
  </si>
  <si>
    <t>Host should not offload address generation if the address carry-over attack is possible</t>
  </si>
  <si>
    <t>Inconsistent text about advertising filter policy</t>
  </si>
  <si>
    <t>Debug mode not allowed error code in BR/EDR/LE Security Aspects</t>
  </si>
  <si>
    <t>Replace "makes" with "performs"</t>
  </si>
  <si>
    <t>Wrong word in second column of the heading for Device A in Table 5.6</t>
  </si>
  <si>
    <t>Need guidance on use of Limited vs. General Discoverable Modes</t>
  </si>
  <si>
    <t>Clarification on reserved values for LE_TEST_END command</t>
  </si>
  <si>
    <t>Direct Test Mode</t>
  </si>
  <si>
    <t>tMIN applies to both commands and events</t>
  </si>
  <si>
    <t>Use of the term "must" in Notes.</t>
  </si>
  <si>
    <t>Inconsistent terminology</t>
  </si>
  <si>
    <t>COEX Logical Signaling</t>
  </si>
  <si>
    <t>Wrong value on axis in Figure A.3</t>
  </si>
  <si>
    <t>BB</t>
  </si>
  <si>
    <t>Clarify that only one ACL logical transport can exist between two devices</t>
  </si>
  <si>
    <t>Wrong number of 3-DH3‘s data rate</t>
  </si>
  <si>
    <t>Missing case in eSCO?</t>
  </si>
  <si>
    <t>Attribute request and response summary table should include Database Out Of Sync Error Code</t>
  </si>
  <si>
    <t>ATT</t>
  </si>
  <si>
    <t>Commands can be sent at any time</t>
  </si>
  <si>
    <t>Remove the connection between AMP Manager Fixed Channel and LE-U</t>
  </si>
  <si>
    <t>Arch.</t>
  </si>
  <si>
    <t>Consistent description of PIN</t>
  </si>
  <si>
    <t>Erratum ID</t>
  </si>
  <si>
    <t>Updated as of the TCRL 2021-1 release for v5.3 adoption. Prepared for TCRL 2021-1 publication.</t>
  </si>
  <si>
    <t>Updated as of the TCRL 2019-2 release for v5.2 adoption.</t>
  </si>
  <si>
    <t>p2</t>
  </si>
  <si>
    <t>Updated as of the TCRL 2021-2 release. Prepared for TCRL 2021-2 publication.</t>
  </si>
  <si>
    <t>TSE(s)</t>
  </si>
  <si>
    <t>TSE Impact Rating(s)</t>
  </si>
  <si>
    <t>TSE 16615 Rejected</t>
  </si>
  <si>
    <t>Test Issue 14905 Declined</t>
  </si>
  <si>
    <t>p3</t>
  </si>
  <si>
    <t>Updated as of the TCRL 2022-2 release for v5.4 adoption. Updated errata links to JIRA links. Updated TSE states throughout. Prepared for TCRL 2022-2 publication.</t>
  </si>
  <si>
    <r>
      <rPr>
        <b/>
        <sz val="10"/>
        <color rgb="FF000000"/>
        <rFont val="Arial"/>
        <family val="2"/>
      </rPr>
      <t xml:space="preserve">This sheet summarizes Specification Errata implemented in Bluetooth v5.2 and the corresponding known Test Impact at the time of finalizing TCRL 2019-2. It's provided for informative purposes only. </t>
    </r>
    <r>
      <rPr>
        <sz val="10"/>
        <color rgb="FF000000"/>
        <rFont val="Arial"/>
        <family val="2"/>
      </rPr>
      <t xml:space="preserve">
TSEs that are open at this time can eventually become part of updated qualification requirements in future TCRLs or conclude as rejected TSEs. At any time in the future, additional TSEs may be necessary to further handle implications of the implemented errata. </t>
    </r>
  </si>
  <si>
    <r>
      <rPr>
        <b/>
        <sz val="10"/>
        <color rgb="FF000000"/>
        <rFont val="Arial"/>
        <family val="2"/>
      </rPr>
      <t xml:space="preserve">This sheet summarizes Specification Errata implemented in Bluetooth v5.3 and the corresponding known Test Impact at the time of finalizing TCRL 2021-1. It's provided for informative purposes only. </t>
    </r>
    <r>
      <rPr>
        <sz val="10"/>
        <color rgb="FF000000"/>
        <rFont val="Arial"/>
        <family val="2"/>
      </rPr>
      <t xml:space="preserve">
TSEs that are open at this time can eventually become part of updated qualification requirements in future TCRLs or conclude as rejected TSEs. At any time in the future, additional TSEs may be necessary to further handle implications of the implemented errata. </t>
    </r>
  </si>
  <si>
    <t>TSE Impact Rating</t>
  </si>
  <si>
    <t>TSE</t>
  </si>
  <si>
    <t>3-Wire / 5.2</t>
  </si>
  <si>
    <t>Assorted issues with reference 1</t>
  </si>
  <si>
    <t>TSE 16290 Released with TCRL 2022-2</t>
  </si>
  <si>
    <t>Acronym - Abbr. / 5.2</t>
  </si>
  <si>
    <t>Acronym - Abbr. / 5.3</t>
  </si>
  <si>
    <t>Meaning of C.x</t>
  </si>
  <si>
    <t>Inconsistent BIS event illustrating</t>
  </si>
  <si>
    <t>Architecture / 5.3</t>
  </si>
  <si>
    <t>Use of "shall" in the Architecture</t>
  </si>
  <si>
    <t>Advertising channels are unordered</t>
  </si>
  <si>
    <t>ATT /  5.2</t>
  </si>
  <si>
    <t>Documentation errors in Core_5.2 specification</t>
  </si>
  <si>
    <t>ATT / 5.3</t>
  </si>
  <si>
    <t>Sentence not required</t>
  </si>
  <si>
    <t>Add cross-references for definition of reliability</t>
  </si>
  <si>
    <t>Database Out of Sync Error is not allowed for ATT_FIND_INFORMATION_REQ</t>
  </si>
  <si>
    <t>Merge opposing cases into one rather than having a note</t>
  </si>
  <si>
    <t>Circled digits in figure 3.1</t>
  </si>
  <si>
    <t>Which error code to use?</t>
  </si>
  <si>
    <t>Baseband / 5.3</t>
  </si>
  <si>
    <t>Must the Peripheral transmit in eSCO reserved slots?</t>
  </si>
  <si>
    <t>Compliance / 5.3</t>
  </si>
  <si>
    <t>Minor tidying up of core configurations</t>
  </si>
  <si>
    <t>TSE 22307 Released with TCRL 2022-2</t>
  </si>
  <si>
    <t>Terminology Changes / Change Request</t>
  </si>
  <si>
    <t>Fix inappropriate terminology</t>
  </si>
  <si>
    <t>Data Types / CSS v10</t>
  </si>
  <si>
    <t>Aligning with the updated PCLA policy</t>
  </si>
  <si>
    <t>Add Appropriate Language paragraph and link to CSS</t>
  </si>
  <si>
    <t>Remove reference to assigned numbers</t>
  </si>
  <si>
    <t>Representation of data types</t>
  </si>
  <si>
    <t>Draft 5.3 Editorial / Change Request</t>
  </si>
  <si>
    <t>The full name of IRK is incorrect.</t>
  </si>
  <si>
    <t>Page response states terminology</t>
  </si>
  <si>
    <t>Draft 5.3 Editorial / Draft V1.0</t>
  </si>
  <si>
    <t>Parameter block layout</t>
  </si>
  <si>
    <t>Ranges</t>
  </si>
  <si>
    <t>Use of must - Vol 6</t>
  </si>
  <si>
    <t>Use of must - Vol 4</t>
  </si>
  <si>
    <t>Use of must - Vol 3</t>
  </si>
  <si>
    <t>Use of must - Vol 2</t>
  </si>
  <si>
    <t>TSE 20641 Released with TCRL 2022-2</t>
  </si>
  <si>
    <t>Use of must - Vol 1</t>
  </si>
  <si>
    <t>Use of must - Vol 0</t>
  </si>
  <si>
    <t>Draft 5.3 Functional</t>
  </si>
  <si>
    <t>Normative and informative text</t>
  </si>
  <si>
    <t>Draft 5.4 Editorial</t>
  </si>
  <si>
    <t>Clickable footnotes and initial references changes</t>
  </si>
  <si>
    <t>Minor editorials</t>
  </si>
  <si>
    <t>Update "revision history" to "version history"</t>
  </si>
  <si>
    <t>Using "RFPHY" rather than "RF PHY".</t>
  </si>
  <si>
    <t>Update references to two or more figures</t>
  </si>
  <si>
    <t>Bullet lists style</t>
  </si>
  <si>
    <t>Draft 5.4 Editorial / Change Request</t>
  </si>
  <si>
    <t>Change a L2CAP to an L2CAP in a few places</t>
  </si>
  <si>
    <t>Use the multiplication sign</t>
  </si>
  <si>
    <t>Is it × 1 octet or × 1 octets?</t>
  </si>
  <si>
    <t>Capitalize controller</t>
  </si>
  <si>
    <t>Text should not be italicized</t>
  </si>
  <si>
    <t>Remove dead and internal references</t>
  </si>
  <si>
    <t>Parameters with no values</t>
  </si>
  <si>
    <t>Formatting of LLID table</t>
  </si>
  <si>
    <t>Lacuna from erratum 16187</t>
  </si>
  <si>
    <t>Wrong OCF format</t>
  </si>
  <si>
    <t>Add a "Removed Features" section</t>
  </si>
  <si>
    <t>Missing preposition</t>
  </si>
  <si>
    <t>Bad phrase "command request"</t>
  </si>
  <si>
    <t>Missing Size: prefix</t>
  </si>
  <si>
    <t>Improve description of Table 3.1</t>
  </si>
  <si>
    <t>Unusable case</t>
  </si>
  <si>
    <t>Wrong punctuation mark</t>
  </si>
  <si>
    <t>Host should be capitalized</t>
  </si>
  <si>
    <t>Wrong format for event name</t>
  </si>
  <si>
    <t>Assorted changes to MSCs</t>
  </si>
  <si>
    <t>Use standard command and event name style in MSC</t>
  </si>
  <si>
    <t>Wrong attribute name</t>
  </si>
  <si>
    <t>Conversion of MSCs in Vol 2 Part B</t>
  </si>
  <si>
    <t>Conversion of MSCs in Vol 6 Part F</t>
  </si>
  <si>
    <t>Conversion of MSCs in Vol 6 Part D</t>
  </si>
  <si>
    <t>Conversion of MSCs in Vol 3 Part H</t>
  </si>
  <si>
    <t>Conversion of MSCs in Vol 3 Part G</t>
  </si>
  <si>
    <t>Conversion of MSCs in Vol 3 Part F</t>
  </si>
  <si>
    <t>Conversion of MSCs in Vol 3 Part D</t>
  </si>
  <si>
    <t>Conversion of MSCs in Vol 3 Part C</t>
  </si>
  <si>
    <t>Conversion of MSCs in Vol 3 Part B</t>
  </si>
  <si>
    <t>Conversion of MSCs in Vol 3 Part A</t>
  </si>
  <si>
    <t>Conversion of MSCs in Vol 2 Part H</t>
  </si>
  <si>
    <t>Conversion of MSCs in Vol 2 Part F</t>
  </si>
  <si>
    <t>Conversion of MSCs in Vol 2 Part C</t>
  </si>
  <si>
    <t>Bad style</t>
  </si>
  <si>
    <t>References to LL_REJECT_EXT_IND</t>
  </si>
  <si>
    <t>TSE 17488 Released with TCRL 2021-2</t>
  </si>
  <si>
    <t>Line spacing in summary blocks</t>
  </si>
  <si>
    <t>Eliminate "C1 or C2"</t>
  </si>
  <si>
    <t>Assorted adjustments</t>
  </si>
  <si>
    <t>Missing table numbers</t>
  </si>
  <si>
    <t>Capitalization of "Attribute Protocol"</t>
  </si>
  <si>
    <t>Capitalization of "Bluetooth Low Energy"</t>
  </si>
  <si>
    <t>Consistent introduction to section lists</t>
  </si>
  <si>
    <t>Eliminate "modulo"</t>
  </si>
  <si>
    <t>Eliminate use of "addition modulo 2"</t>
  </si>
  <si>
    <t>Assorted editorial issues in HCI</t>
  </si>
  <si>
    <t>Put table 3.1 in alphabetical order</t>
  </si>
  <si>
    <t>Improve layout of table 3.2</t>
  </si>
  <si>
    <t>Command/Event summary blocks formatting</t>
  </si>
  <si>
    <t>Long sequences of Xs</t>
  </si>
  <si>
    <t>Visual inconsistencies in volume 6</t>
  </si>
  <si>
    <t>Proposed wording change</t>
  </si>
  <si>
    <t>Minor editorial corrections in volume 3</t>
  </si>
  <si>
    <t>Volume 3 figure and table adjustments</t>
  </si>
  <si>
    <t>L2CAP editorial changes</t>
  </si>
  <si>
    <t>Keeping text with MSCs</t>
  </si>
  <si>
    <t>Minor editorial corrections in volume 2</t>
  </si>
  <si>
    <t>Headings in parameter descriptions</t>
  </si>
  <si>
    <t>issues related to se_n subevent vs event</t>
  </si>
  <si>
    <t>Draft 5.4 Editorial / Draft V1.0</t>
  </si>
  <si>
    <t>Acknowledgments table for vDenver: DBAF</t>
  </si>
  <si>
    <t>Please correct the spelled out acronym for IEEE in the A&amp;A table</t>
  </si>
  <si>
    <t>Acknowledgments table for vDenver: PAwR</t>
  </si>
  <si>
    <t>Acknowledgments table for vDenver: EAD</t>
  </si>
  <si>
    <t>Acknowledgments table for vDenver: CSSA</t>
  </si>
  <si>
    <t>Fix spelling of "acknowledgments"</t>
  </si>
  <si>
    <t>Use ISO dates</t>
  </si>
  <si>
    <t>GAP / 5.3</t>
  </si>
  <si>
    <t>The Central shall use a resolvable private address</t>
  </si>
  <si>
    <t>Wrong Text and missing reference</t>
  </si>
  <si>
    <t>Eliminate "shall" and fix grammar</t>
  </si>
  <si>
    <t>TSE 22133 Released with TCRL 2022-2</t>
  </si>
  <si>
    <t>Remove erroneous note</t>
  </si>
  <si>
    <t>What happened to 4.4.2.2?</t>
  </si>
  <si>
    <t>Clarify SYNCHRONIZABILITY MODES are only applicable for CPB feature</t>
  </si>
  <si>
    <t>Bonding procedure should require Bondable mode</t>
  </si>
  <si>
    <t>TSE 18669 Released with TCRL 2022-2</t>
  </si>
  <si>
    <t>Bonding mode requirements don't make sense</t>
  </si>
  <si>
    <t>An AD Structure may be fragmented over two or more PDUs.</t>
  </si>
  <si>
    <t>Clarify rules about non-significant part</t>
  </si>
  <si>
    <t>TSE 18444 Released with TCRL 2022-2</t>
  </si>
  <si>
    <t>Why do we pair twice?</t>
  </si>
  <si>
    <t>TSE 20610 Rejected</t>
  </si>
  <si>
    <t>Recommend setting the subrate factor to 1 during key refresh or encryption setup procedure</t>
  </si>
  <si>
    <t>BR/EDR/LE Secure Connections Only Mode requirement for both transports</t>
  </si>
  <si>
    <t>TSE 17191 Released with TCRL 2022-2</t>
  </si>
  <si>
    <t>GATT /  5.2</t>
  </si>
  <si>
    <t>contents of ATT_FIND_INFORMATION_RSP PDU</t>
  </si>
  <si>
    <t>Incorrect PDU name</t>
  </si>
  <si>
    <t>GATT / 5.3</t>
  </si>
  <si>
    <t>Characteristic Format name inconsistent</t>
  </si>
  <si>
    <t>There are two notification procedures</t>
  </si>
  <si>
    <t>Add the ceiling operator</t>
  </si>
  <si>
    <t>Is an RFU bit a field or a value?</t>
  </si>
  <si>
    <t>General Terminology and Interpretation / 5.3</t>
  </si>
  <si>
    <t>typo in ISO 11037-20601</t>
  </si>
  <si>
    <t>Unclear about ISO_Data_Packet_Length parameter returned in LE Read Buffer Size [v2] command</t>
  </si>
  <si>
    <t>C143 is equivalent to C142</t>
  </si>
  <si>
    <t>TSE 17150 Released with TCRL 2021-2</t>
  </si>
  <si>
    <t>Parameter blocks should not have table numbers or captions</t>
  </si>
  <si>
    <t>Missing word?</t>
  </si>
  <si>
    <t>An HCI_Command_Complete event is not sent by the Controller to indicate that this command has been completed</t>
  </si>
  <si>
    <t>CTE Request Enable is active when</t>
  </si>
  <si>
    <t>Invalid parameter names</t>
  </si>
  <si>
    <t>HCI commands related Sync Train / Sync Scan are used only for CSB</t>
  </si>
  <si>
    <t>TSE 16960 Released with TCRL 2021-2</t>
  </si>
  <si>
    <t>Too restrictive text about the controller not interpreting the EIR data</t>
  </si>
  <si>
    <t>RFU values for the Air_Mode parameter</t>
  </si>
  <si>
    <t>Advertiser_Address_Type Parameter Description for 0x00 and 0x01</t>
  </si>
  <si>
    <t>TSE 16961 Released with TCRL 2021-2</t>
  </si>
  <si>
    <t>Missing error case for unsupported values</t>
  </si>
  <si>
    <t>TSE 16919 Released with TCRL 2021-2</t>
  </si>
  <si>
    <t>Clarify that isochronous data may not be present the ISO_Data_Load field</t>
  </si>
  <si>
    <t>TSE 22142 Released with TCRL 2022-2</t>
  </si>
  <si>
    <t>Unclear fragmentation requirement</t>
  </si>
  <si>
    <t>TSE 20637 Released with TCRL 2022-2</t>
  </si>
  <si>
    <t>HCI / 5.3</t>
  </si>
  <si>
    <t>Missing error code in case of unsupported Periodic Advertising ADI Support feature</t>
  </si>
  <si>
    <t>TSE 19210 Released with TCRL 2022-2</t>
  </si>
  <si>
    <t>RF Path Compensation RX parameter direction and Path Loss relation to compensation</t>
  </si>
  <si>
    <t>Explanation for empty cells in LE_States table</t>
  </si>
  <si>
    <t>Parameters Conflict check isn't possible without related ACL info</t>
  </si>
  <si>
    <t>TSE 18992 Released with TCRL 2022-2</t>
  </si>
  <si>
    <t>"Incomplete, data truncated" description not fully correct</t>
  </si>
  <si>
    <t>Extraneous entries in table 3.3</t>
  </si>
  <si>
    <t>Incorrect event parameter name</t>
  </si>
  <si>
    <t>More than one resolving list entry can have an all-zero Peer_IRK</t>
  </si>
  <si>
    <t>Erratum 10433 scope was too wide</t>
  </si>
  <si>
    <t>TSE 20441 Released with TCRL 2022-2</t>
  </si>
  <si>
    <t>Clarification required on HCI_LE_Connection_CTE_- Request_Enable with Enable parameter set to 0x0 (disable)</t>
  </si>
  <si>
    <t>Wrong choice of error code</t>
  </si>
  <si>
    <t>TSE 20611 Released with TCRL 2022-2</t>
  </si>
  <si>
    <t>Default should be no data</t>
  </si>
  <si>
    <t>Should RTN be expressed as an equation?</t>
  </si>
  <si>
    <t>The maximum that the Controller can transmit within a periodic advertising interval of Periodic_Advertising_Interval_Max with ACAD</t>
  </si>
  <si>
    <t>TSE 18517 Rejected</t>
  </si>
  <si>
    <t>Two Paragraphs describes the same situation but different expected behavior in LE Set Extended Advertising Data command</t>
  </si>
  <si>
    <t>Which bits are requirements is unclear</t>
  </si>
  <si>
    <t>TSE 22151 Released with TCRL 2022-2</t>
  </si>
  <si>
    <t>No lower limit specified for command parameters</t>
  </si>
  <si>
    <t>TSE 17713 Released with TCRL 2022-2</t>
  </si>
  <si>
    <t>{Read,Write} LE Host Support are BR/EDR commands</t>
  </si>
  <si>
    <t>TSE 17515 Released with TCRL 2021-2</t>
  </si>
  <si>
    <t>Missing reference to test command</t>
  </si>
  <si>
    <t>What is the Golden Range?</t>
  </si>
  <si>
    <t>When is the LE Channel Selection Algorithm event sent</t>
  </si>
  <si>
    <t>Need clarity on Disconnect command issued on a CIS Handle which is "Failed to Establish"</t>
  </si>
  <si>
    <t>TSE 19280 Released with TCRL 2022-2</t>
  </si>
  <si>
    <t>Allowing Controller to refuse a Set_Phy</t>
  </si>
  <si>
    <t>TSE 19181 Released with TCRL 2022-2</t>
  </si>
  <si>
    <t>Implicit feature exchanges</t>
  </si>
  <si>
    <t>TSE 17450 Released with TCRL 2022-1</t>
  </si>
  <si>
    <t>HCI_Configure_Data_Path is not the only way to configure vendor-specific data transport path</t>
  </si>
  <si>
    <t>Can Resolvable Private  Addresses be added to the resolving list?</t>
  </si>
  <si>
    <t>HCI-USB / 5.2</t>
  </si>
  <si>
    <t>Eliminate unnumbered, captionless tables</t>
  </si>
  <si>
    <t>IAL / 5.3</t>
  </si>
  <si>
    <t>Must all unreceived SDUs be reported to the upper layer</t>
  </si>
  <si>
    <t>Mas PDU formulae</t>
  </si>
  <si>
    <t>TSE 19272 Released with TCRL 2022-2</t>
  </si>
  <si>
    <t>At transmitter side, ISOAL should use Ideal CIS/BIS anchor point time OR Current CIS/BIS anchor point time for time offset calculation?</t>
  </si>
  <si>
    <t>Lacuna from erratum 16187 and related editorials</t>
  </si>
  <si>
    <t>Enhanced Credit Based Flow Control Mode over BR/EDR is not reliable</t>
  </si>
  <si>
    <t>L2CAP / 5.3</t>
  </si>
  <si>
    <t>Requirement on Controller within L2CAP</t>
  </si>
  <si>
    <t>Incomplete definition of K-frame</t>
  </si>
  <si>
    <t>All other fields should be ignored if Result indicates that all connections are pending</t>
  </si>
  <si>
    <t>What does it mean to discard channels?</t>
  </si>
  <si>
    <t>What is the correct reject code for a malformed command</t>
  </si>
  <si>
    <t>"pending" result codes in L2CAP_CREDIT_BASED_CONNECTION_RSP should be BR/EDR only</t>
  </si>
  <si>
    <t>Signaling packets on other fixed channels</t>
  </si>
  <si>
    <t>Assignment of dynamically allocated CIDs</t>
  </si>
  <si>
    <t>Support requirements on BR/EDR/LE devices</t>
  </si>
  <si>
    <t>LE Link layer Security / 5.3</t>
  </si>
  <si>
    <t>Ambiguity about encryption of PDUs</t>
  </si>
  <si>
    <t>LE MSC / 5.3</t>
  </si>
  <si>
    <t>Missing Command Complete</t>
  </si>
  <si>
    <t>Procedure is device-agnostic</t>
  </si>
  <si>
    <t>LL / 5.2</t>
  </si>
  <si>
    <t>What does Last subevent mean exactly?</t>
  </si>
  <si>
    <t>LL / 5.3</t>
  </si>
  <si>
    <t>Is the Filter Accept List used when applying scanner filter policy to directed advertising PDUs?</t>
  </si>
  <si>
    <t>TSE 19293 Released with TCRL 2022-2</t>
  </si>
  <si>
    <t>Conditions under which the LE BIGInfo Advertising Report event is generated</t>
  </si>
  <si>
    <t>Scanner Filter Policy or Scanning Filter Policy?</t>
  </si>
  <si>
    <t>TSE 17760 Released with TCRL 2021-2</t>
  </si>
  <si>
    <t>Requirement written for wrong device</t>
  </si>
  <si>
    <t>Configured or Configurable?</t>
  </si>
  <si>
    <t>Connectionless CTE Receiver not required to receive CTEs on Advertising Channel PDUs</t>
  </si>
  <si>
    <t>Impossible to meet CIS_Offset_Max range if ISO_Interval and connInterval have GCD=1</t>
  </si>
  <si>
    <t>TSE 18222 Released with TCRL 2022-2</t>
  </si>
  <si>
    <t>No mention of HCI ISO Data packets</t>
  </si>
  <si>
    <t>TSE 20663 Released with TCRL 2022-2</t>
  </si>
  <si>
    <t>Clarify whether CSA#2 is run at the start of a BIG event or a BIS event</t>
  </si>
  <si>
    <t>Truncated Reports and Duplicate Filtering</t>
  </si>
  <si>
    <t>Channel classification feature : Clarification about starting time to reach 'Max_Delay' in Peripheral</t>
  </si>
  <si>
    <t>TSE 18448 Released with TCRL 2022-2</t>
  </si>
  <si>
    <t>Privacy is not enabled</t>
  </si>
  <si>
    <t>Clarify Scanner's Device Address</t>
  </si>
  <si>
    <t>TSE 19103 Open</t>
  </si>
  <si>
    <t>The timing that Controller sends LE Create BIG Complete event</t>
  </si>
  <si>
    <t>TSE 17516 Released with TCRL 2022-2</t>
  </si>
  <si>
    <t>Presence requirements for connection update procedure when subrating</t>
  </si>
  <si>
    <t>Use of "ACK" and "NACK"</t>
  </si>
  <si>
    <t>TSE 17384 Released with TCRL 2022-2</t>
  </si>
  <si>
    <t>PTO &gt; 0 does not mean pre-transmission</t>
  </si>
  <si>
    <t>What to be sent in BIS event if the source of the data fails to provide payloads</t>
  </si>
  <si>
    <t>Continuation event example not valid, figure 4.41</t>
  </si>
  <si>
    <t>Resuming ConnectionLess IQ sampling</t>
  </si>
  <si>
    <t>TSE 20383 Released with TCRL 2022-2</t>
  </si>
  <si>
    <t>Unclear how a Synchronized Receiver determines encryption</t>
  </si>
  <si>
    <t>TSE 19193 Released with TCRL 2022-2</t>
  </si>
  <si>
    <t>How much advertising data must the scanner be able to receive?</t>
  </si>
  <si>
    <t>TSE 18474 Released with TCRL 2022-2</t>
  </si>
  <si>
    <t>LE Pause Encryption during CIS ongoing</t>
  </si>
  <si>
    <t>Acceptable continuation numbers during the Subrate Request procedure</t>
  </si>
  <si>
    <t>Window widening during BIS or CIS</t>
  </si>
  <si>
    <t>BIG_Offset should be able to point to a future BIG anchor point</t>
  </si>
  <si>
    <t>TSE 17378 Released with TCRL 2022-2</t>
  </si>
  <si>
    <t>LMP / 5.3</t>
  </si>
  <si>
    <t>PDUs with the wrong length</t>
  </si>
  <si>
    <t>TSE 19141 Released with TCRL 2022-2</t>
  </si>
  <si>
    <t>Misc / 5.2</t>
  </si>
  <si>
    <t>References to Extended ASCII</t>
  </si>
  <si>
    <t>Misc / 5.3</t>
  </si>
  <si>
    <t>Misc table corrections</t>
  </si>
  <si>
    <t>General table corrections</t>
  </si>
  <si>
    <t>Terminology changes for previously used Compliance Requirements expressions</t>
  </si>
  <si>
    <t>Framed PDUs contain one or more segments but the length of framed padding PDU must be zero.</t>
  </si>
  <si>
    <t>Denver r05 WG review comments</t>
  </si>
  <si>
    <t>Legal review comments</t>
  </si>
  <si>
    <t>MSC / 5.3</t>
  </si>
  <si>
    <t>HCI_Command_Status event missing in Figure 3.5</t>
  </si>
  <si>
    <t>RF / 5.3</t>
  </si>
  <si>
    <t>Undefined symbols in figures C.1 and C.2</t>
  </si>
  <si>
    <t>RF / 5.2</t>
  </si>
  <si>
    <t>Lowest step or lowest level?</t>
  </si>
  <si>
    <t>RFPHY / 5.3</t>
  </si>
  <si>
    <t>Editorial error in formula of MRPD</t>
  </si>
  <si>
    <t>Editorial error in Table 4.5 and Table 4.6</t>
  </si>
  <si>
    <t>Note pointing to the obsolete Bluetooth Low Energy Regulatory White Paper</t>
  </si>
  <si>
    <t>Clarify the radiative TX power range</t>
  </si>
  <si>
    <t>Minor corrections to the data formatting</t>
  </si>
  <si>
    <t>SDP / 5.3</t>
  </si>
  <si>
    <t>A typo for "As far as the Service Discovery protocol (SDP) is concerned, the configuration shown in Figure 2.1 can be simplified to that shown in Figure 2.2."</t>
  </si>
  <si>
    <t>Missing arrow?</t>
  </si>
  <si>
    <t>Need to reject all public keys having the same X-axis value</t>
  </si>
  <si>
    <t>Security / 5.3</t>
  </si>
  <si>
    <t>Remove rationale and implementation details</t>
  </si>
  <si>
    <t>SM / 5.3</t>
  </si>
  <si>
    <t>SMP Pairing Failed error "Key Rejected" is bogus</t>
  </si>
  <si>
    <t>TSE 18140 Released with TCRL 2022-1</t>
  </si>
  <si>
    <t>Does LE legacy pairing Passkey Entry provide protection against active MITM attacks?</t>
  </si>
  <si>
    <t>Wrong variables in figures C.12 to C.14</t>
  </si>
  <si>
    <t>SM Figure 2.6 suggests IOcapA and IOcapB are the same value</t>
  </si>
  <si>
    <t>Test Support / 5.3</t>
  </si>
  <si>
    <t>Remove outdated or superfluous text pertaining to the test support part</t>
  </si>
  <si>
    <t>WCI-1 / 5.3</t>
  </si>
  <si>
    <t>Nibble is undefined</t>
  </si>
  <si>
    <t>19131
22209</t>
  </si>
  <si>
    <t>TSE 15491 Released with TCRL 2021-1</t>
  </si>
  <si>
    <t>TSE 15431 Released with TCRL 2021-1</t>
  </si>
  <si>
    <t>TSE 15435 Released with TCRL 2021-1</t>
  </si>
  <si>
    <t>TSE 15437 Released with TCRL 2021-1</t>
  </si>
  <si>
    <t>TSE 15441 Released with TCRL 2021-1</t>
  </si>
  <si>
    <t>TSE 15443 Released with TCRL 2020-1 (LE Audio)</t>
  </si>
  <si>
    <t>TSE 15444 Released with TCRL 2021-1
TSE 15445 Released with TCRL 2021-1</t>
  </si>
  <si>
    <t>TSE 15588 Released with TCRL 2021-1
TSE 15589 Released with TCRL 2021-1</t>
  </si>
  <si>
    <t>TSE 15487 Released with TCRL 2021-1
TSE 15488 Released with TCRL 2021-1
TSE 15489 Released with TCRL 2021-1</t>
  </si>
  <si>
    <t>TSE 15432 Released with TCRL 2020-1 (LE Audio)
TSE 15433 Released with TCRL 2021-1
TSE 15434 Released with TCRL 2021-1</t>
  </si>
  <si>
    <t>TSE 15438 Released with TCRL 2021-1
TSE 15440 Released with TCRL 2021-1
TSE 15441 Released with TCRL 2021-1</t>
  </si>
  <si>
    <t>TSE 15628 Released with TCRL 2021-1</t>
  </si>
  <si>
    <t>TSE 15689 Released with TCRL 2021-1</t>
  </si>
  <si>
    <t>TSE 15594 Released with TCRL 2021-1</t>
  </si>
  <si>
    <t>TSE 13090 Released with TCRL 2021-1</t>
  </si>
  <si>
    <t>TSE 15521 Released with TCRL 2021-1</t>
  </si>
  <si>
    <t>TSE 14861 Released with TCRL 2021-1</t>
  </si>
  <si>
    <t>TSE 13585 Released with TCRL 2021-1</t>
  </si>
  <si>
    <t>TSE 15026 Released with TCRL 2021-1</t>
  </si>
  <si>
    <t>TSE 13341 Released with TCRL 2020-1 (LE Audio)</t>
  </si>
  <si>
    <t>TSE 15915 Released with TCRL 2021-1</t>
  </si>
  <si>
    <t>TSE 15919 Released with TCRL 2021-2</t>
  </si>
  <si>
    <t>TSE 15601 Released with TCRL 2021-1</t>
  </si>
  <si>
    <t>TSE 15078 Released with TCRL 2021-1</t>
  </si>
  <si>
    <t>TSE 14953 Released with TCRL 2021-2</t>
  </si>
  <si>
    <t>TSE 16374 Released with TCRL 2021-1</t>
  </si>
  <si>
    <t>TSE 15177 Released with TCRL 2021-1</t>
  </si>
  <si>
    <t>TSE 16160 Released with TCRL 2021-1</t>
  </si>
  <si>
    <t>TSE 13583 Released with TCRL 2021-1</t>
  </si>
  <si>
    <t>TSE 13587 Released with TCRL 2021-1</t>
  </si>
  <si>
    <t>TSE 15493 Released with TCRL 2021-2</t>
  </si>
  <si>
    <t>TSE 15621 Released with TCRL 2021-1</t>
  </si>
  <si>
    <t>TSE 15914 Released with TCRL 2021-1</t>
  </si>
  <si>
    <t>TSE 13353 Released with TCRL 2021-1</t>
  </si>
  <si>
    <t>TSE 14625 Released with TCRL 2021-1</t>
  </si>
  <si>
    <t>TSE 16161 Released with TCRL 2021-1</t>
  </si>
  <si>
    <t>TSE 14954 Released with TCRL 2021-1</t>
  </si>
  <si>
    <t>TSE 15025 Released with TCRL 2021-1</t>
  </si>
  <si>
    <t>TSE 16235 Released with TCRL 2021-1</t>
  </si>
  <si>
    <t>TSE 15610 Released with TCRL 2021-1</t>
  </si>
  <si>
    <t>TSE 15240 Released with TCRL 2021-1</t>
  </si>
  <si>
    <t>TSE 15935 Released with TCRL 2021-1</t>
  </si>
  <si>
    <t>TSE 16105 Released with TCRL 2021-1</t>
  </si>
  <si>
    <t>TSE 16928 Released with TCRL 2021-2</t>
  </si>
  <si>
    <t>TSE 15278 Released with TCRL 2021-1</t>
  </si>
  <si>
    <t>TSE 14624 Released with TCRL 2021-1</t>
  </si>
  <si>
    <t>TSE 11959 Released with TCRL 2021-1</t>
  </si>
  <si>
    <t>TSE 14810 Released with TCRL 2021-1</t>
  </si>
  <si>
    <t>TSE 15277 Released with TCRL 2021-1</t>
  </si>
  <si>
    <t>TSE 15269 Released with TCRL 2021-1</t>
  </si>
  <si>
    <t>TSE 15053 Released with TCRL 2021-1</t>
  </si>
  <si>
    <t>TSE 15289 Released with TCRL 2021-1</t>
  </si>
  <si>
    <t>TSE 15481 Released with TCRL 2021-1</t>
  </si>
  <si>
    <t>TSE 15960 Released with TCRL 2021-1</t>
  </si>
  <si>
    <t>TSE 16390 Released with TCRL 2021-1</t>
  </si>
  <si>
    <t>TSE 15270 Released with TCRL 2021-1</t>
  </si>
  <si>
    <t>TSE 15675 Released with TCRL 2021-1</t>
  </si>
  <si>
    <t>TSE 15953 Released with TCRL 2021-1</t>
  </si>
  <si>
    <t>TSE 16700 Released with TCRL 2021-2</t>
  </si>
  <si>
    <t>TSE 15608 Released with TCRL 2021-1</t>
  </si>
  <si>
    <t>TSE 14623 Released with TCRL 2021-1</t>
  </si>
  <si>
    <t>TSE 15239 Released with TCRL 2021-1</t>
  </si>
  <si>
    <t>TSE 13349 Released with TCRL 2021-1
TSE 13350 Released with TCRL 2021-1
TSE 13351 Released with TCRL 2021-1
TSE 13352 Released with TCRL 2021-1</t>
  </si>
  <si>
    <t>TSE 15088 Released with TCRL 2021-1
TSE 15089 Released with TCRL 2021-1</t>
  </si>
  <si>
    <t>TSE 12700 Released with TCRL 2021-1
TSE 14811 Released with TCRL 2021-1</t>
  </si>
  <si>
    <t>TSE 12810 Released with TCRL 2021-1
TSE 13015 Released with TCRL 2021-1
TSE 14820 Released with TCRL 2021-1</t>
  </si>
  <si>
    <t>TSE 15625 Released with TCRL 2021-1</t>
  </si>
  <si>
    <t>TSE 16021 Released with TCRL 2021-1</t>
  </si>
  <si>
    <t>TSE 15918 Released with TCRL 2021-1</t>
  </si>
  <si>
    <t>TSE 15612 Released with TCRL 2021-1</t>
  </si>
  <si>
    <t>TSE 15868 Released with TCRL 2021-1</t>
  </si>
  <si>
    <t>TSE 15271 Released with TCRL 2021-2</t>
  </si>
  <si>
    <t>TSE 16083 Released with TCRL 2021-2</t>
  </si>
  <si>
    <t>TSE 12334 Released with TCRL 2019-2</t>
  </si>
  <si>
    <t>TSE 15624 Released with TCRL 2021-1</t>
  </si>
  <si>
    <t>TSE 15606 Released with TCRL 2021-1</t>
  </si>
  <si>
    <t>TSE 14876 Released with TCRL 2021-1</t>
  </si>
  <si>
    <t>TSE 14853 Released with TCRL 2021-1</t>
  </si>
  <si>
    <t>TSE 15619 Released with TCRL 2021-1</t>
  </si>
  <si>
    <t>TSE 15045 Released with TCRL 2021-1</t>
  </si>
  <si>
    <t>TSE 15955 Released with TCRL 2021-1</t>
  </si>
  <si>
    <t>TSE 15627 Released with TCRL 2021-1</t>
  </si>
  <si>
    <t>TSE 15604 Released with TCRL 2021-1</t>
  </si>
  <si>
    <t>TSE 14783 Released with TCRL 2021-1</t>
  </si>
  <si>
    <t>TSE 15148 Rejected
TSE 15149 Released with TCRL 2021-1</t>
  </si>
  <si>
    <t>TSE 16020 Released with TCRL 2021-1</t>
  </si>
  <si>
    <t>TSE 14701 Released with TCRL 2021-1</t>
  </si>
  <si>
    <t>TSE 12919 Released with TCRL 2021-1</t>
  </si>
  <si>
    <t>TSE 15054 Released with TCRL 2021-1</t>
  </si>
  <si>
    <t>TSE 15916 Released with TCRL 2021-1</t>
  </si>
  <si>
    <t>TSE 15920 Released with TCRL 2021-1</t>
  </si>
  <si>
    <t>TSE 16184 Released with TCRL 2021-1</t>
  </si>
  <si>
    <t>TSE 15276 Released with TCRL 2021-1</t>
  </si>
  <si>
    <t>TSE 15149 Released with TCRL 2021-1</t>
  </si>
  <si>
    <t>TSE 15164 Released with TCRL 2021-1</t>
  </si>
  <si>
    <t>TSE 15386 Released with TCRL 2021-1</t>
  </si>
  <si>
    <t>TSE 16485 Released with TCRL 2021-1</t>
  </si>
  <si>
    <t>TSE 14658 Released with TCRL 2021-2</t>
  </si>
  <si>
    <t>TSE 14876 Released with TCRL 2021-1
TSE 15596 Released with TCRL 2021-1</t>
  </si>
  <si>
    <t>TSE 15544 Released with TCRL 2021-1
TSE 15596 Released with TCRL 2021-1
TSE 15545 Released with TCRL 2021-1
TSE 15596 Released with TCRL 2021-1</t>
  </si>
  <si>
    <t>TSE 13240 Released with TCRL 2021-1</t>
  </si>
  <si>
    <t>TSE 13380 Released with TCRL 2021-1</t>
  </si>
  <si>
    <t>TSE 15936 Released with TCRL 2021-1</t>
  </si>
  <si>
    <t>TSE 14809 Released with TCRL 2021-1</t>
  </si>
  <si>
    <t>TSE 15257 Released with TCRL 2021-1
TSE 15258 Released with TCRL 2021-1</t>
  </si>
  <si>
    <t>TSE 16368 Released with TCRL 2021-1
TSE 16369 Released with TCRL 2021-1</t>
  </si>
  <si>
    <t>TSE 12811 Released with TCRL 2021-1</t>
  </si>
  <si>
    <t>TSE 15494 Released with TCRL 2021-1</t>
  </si>
  <si>
    <t>TSE 13266 Released with TCRL 2021-1</t>
  </si>
  <si>
    <t>TSE 15609 Released with TCRL 2021-1</t>
  </si>
  <si>
    <t>TSE 14648 Released with TCRL 2021-1</t>
  </si>
  <si>
    <t>TSE 12882 Released with TCRL 2021-1</t>
  </si>
  <si>
    <t>TSE 12896 Released with TCRL 2021-1</t>
  </si>
  <si>
    <t>TSE 14659 Released with TCRL 2021-1</t>
  </si>
  <si>
    <t>TSE 16022 Released with TCRL 2021-1</t>
  </si>
  <si>
    <t>TSE 12856 Released with TCRL 2021-1
TSE 12857 Released with TCRL 2021-1</t>
  </si>
  <si>
    <t>TSE 14985 Released with TCRL 2021-1
TSE 14986 Released with TCRL 2021-1</t>
  </si>
  <si>
    <t>TSE 15490 Released with TCRL 2021-1
TSE 15491 Released with TCRL 2021-1</t>
  </si>
  <si>
    <t>TSE 16695 Released with TCRL 2021-1</t>
  </si>
  <si>
    <t>TSE 13031 Released with TCRL 2021-1
TSE 14695 Released with TCRL 2021-1</t>
  </si>
  <si>
    <t>TSE 12162 Released with TCRL 2021-1</t>
  </si>
  <si>
    <t>TSE 13120 Released with TCRL2021-1</t>
  </si>
  <si>
    <t>TSE 11709 Released with TCRL 2019-2</t>
  </si>
  <si>
    <t>TSE 11534 Released with TCRL 2019-2</t>
  </si>
  <si>
    <t>TSE 11571 Released with TCRL 2019-1</t>
  </si>
  <si>
    <t>TSE 11629 Released with TCRL 2019-2</t>
  </si>
  <si>
    <t>TSE 12703 Released with TCRL 2019-2</t>
  </si>
  <si>
    <t>TSE 12044 Released with TCRL 2019-2</t>
  </si>
  <si>
    <t>TSE 12811 Released with TCRL 2019-2</t>
  </si>
  <si>
    <t>Tab Color Legend</t>
  </si>
  <si>
    <t>Sheet updated due to newly integrated errata or a change in test impact or to the states of the associated test impact TSEs.</t>
  </si>
  <si>
    <t>No changes to this sheet compared to the previous publication.</t>
  </si>
  <si>
    <t>Updates made only to the D&amp;W states of the specifications, but there are no changes to integrated errata and test impact compared to the previous publication.</t>
  </si>
  <si>
    <t>Red text is used throughout to designate all updates made since the previous publication.</t>
  </si>
  <si>
    <t>p4</t>
  </si>
  <si>
    <t>Updated as of the TCRL 2023-1 release. Includes updates from DIS 1.2. Prepared for TCRL 2023-1 publication.</t>
  </si>
  <si>
    <t>TSE 19131 Released with TCRL 2022-2
TSE 22209 Released with TCRL 2023-1</t>
  </si>
  <si>
    <t>p5</t>
  </si>
  <si>
    <t>Updated as of the TCRL 2024-1 release. Updated TSE states throughout. Prepared for TCRL 2024-1 publication.</t>
  </si>
  <si>
    <t>p6</t>
  </si>
  <si>
    <t>Updated as of the TCRL 2024-2 release for v6.0 adoption. Updated TSE states throughout. Prepared for TCRL 2024-2 publication.</t>
  </si>
  <si>
    <t>add Acknowledgment tables for new features</t>
  </si>
  <si>
    <t>PAwR missing from Table 3.4</t>
  </si>
  <si>
    <t>1/Technical Low</t>
  </si>
  <si>
    <t>Contradictory statements in Vol 1 and Vol 2 regarding which transport the ACL-C/U links are carried over</t>
  </si>
  <si>
    <t>Why is the Mesh-Based Model Hierarchy in the Core Specification?</t>
  </si>
  <si>
    <t>Unnecessary bridge in Figure 3.3</t>
  </si>
  <si>
    <t>LE controller does not do LE pairing or autentication</t>
  </si>
  <si>
    <t>Rewrite the "Architecture is informative" wording</t>
  </si>
  <si>
    <t>Yes - doesn't need to wait for erratum</t>
  </si>
  <si>
    <t>Remove unused abbreviations</t>
  </si>
  <si>
    <t>TSE 23171 Released with TCRL 2024-1</t>
  </si>
  <si>
    <t>Identity Root is no longer used, but 1 instance remains in 5.4</t>
  </si>
  <si>
    <t>Better handling of mod expressions</t>
  </si>
  <si>
    <t>Rules for values reserved for specification development are wrong</t>
  </si>
  <si>
    <t>2/Technical Medium</t>
  </si>
  <si>
    <t>Should exp() be added to the mathematical conventions?</t>
  </si>
  <si>
    <t>Editorial issues with Channel Sounding additions to Atlanta r01</t>
  </si>
  <si>
    <t>Wrong format for error codes</t>
  </si>
  <si>
    <t>Formalize requirements</t>
  </si>
  <si>
    <t>Yes - tied to spec change</t>
  </si>
  <si>
    <t>Inconsistent notation</t>
  </si>
  <si>
    <t>Appearance fixes</t>
  </si>
  <si>
    <t>Define the "Re" function.</t>
  </si>
  <si>
    <t>Table 2.2 needs redesigning</t>
  </si>
  <si>
    <t>Forbid pages from devices with the same BD_ADDR as the paged device</t>
  </si>
  <si>
    <t>3/Technical High</t>
  </si>
  <si>
    <t>TSE 24275 Released with TCRL 2024-2</t>
  </si>
  <si>
    <t>Bring various numbers into line with our conventions</t>
  </si>
  <si>
    <t>Assorted editorial issues in Sniff</t>
  </si>
  <si>
    <t>Abbreviations for General Audio Recommendations</t>
  </si>
  <si>
    <t>LMP on LE-only devices</t>
  </si>
  <si>
    <t>Broadcast encryption requires encryption</t>
  </si>
  <si>
    <t>Timing_Control_Flags in special circumstances</t>
  </si>
  <si>
    <t>Consider AFH enabled on a physical link</t>
  </si>
  <si>
    <t>Is the Link Supervision Timeout Changed event mandatory?</t>
  </si>
  <si>
    <t>Clarify when encryption key refresh has to be performed</t>
  </si>
  <si>
    <t>Normative or informative LMP sequences</t>
  </si>
  <si>
    <t>Allow a device to ignore an infinite supervision timeout</t>
  </si>
  <si>
    <t>Security uses "can" instead of "may"</t>
  </si>
  <si>
    <t>Wrong format for some error codes</t>
  </si>
  <si>
    <t>LT_ADDR parameter listed but not used in LMP</t>
  </si>
  <si>
    <t>Consistent description of LMP sequences</t>
  </si>
  <si>
    <t>Missing italics</t>
  </si>
  <si>
    <t>Wrong parameter name in LMP_SNIFF_REQ description</t>
  </si>
  <si>
    <t>Use of "bit1" instead of "bit 1"</t>
  </si>
  <si>
    <t>Sequences 73 and 75 should be different</t>
  </si>
  <si>
    <t>Clarify Table 5.3 mandatory parameter rangers mean support, not usage</t>
  </si>
  <si>
    <t>Use of link key as input to mutual authentication treated as if it were a recommendation.</t>
  </si>
  <si>
    <t>Enabling Secure Simple Pairing and Secure Connections support is required before connections using these features are created, but the existing language includes these implications as recommendations.</t>
  </si>
  <si>
    <t>"secure connections" is not capitalized in the title of 2F, 4.2.2</t>
  </si>
  <si>
    <t>The asterisk isn't explained.</t>
  </si>
  <si>
    <t>Equation can be on one line</t>
  </si>
  <si>
    <t>Inconsistent use of DHKey in security diagram</t>
  </si>
  <si>
    <t>Clarfication on the use of Do Not Care values in QOS option negotiation with Guaranteed service type</t>
  </si>
  <si>
    <t>Credit Based Flow Control Modes missing in Terminology entries</t>
  </si>
  <si>
    <t>EDITORIAL for word</t>
  </si>
  <si>
    <t>FCS Option in Extended feature mask needs clarification</t>
  </si>
  <si>
    <t>TSE 23052 Released with TCRL 2024-1</t>
  </si>
  <si>
    <t>Consistency of "mode"</t>
  </si>
  <si>
    <t>Capitalization of "Request", "Response", and "Indication"</t>
  </si>
  <si>
    <t>Miscellaneous issues</t>
  </si>
  <si>
    <t>Consistency of lists</t>
  </si>
  <si>
    <t>AdditionalProtocolDescriptorList attribute is singular or plural?</t>
  </si>
  <si>
    <t xml:space="preserve">TSE 24514 Released with TCRL 2024-1
</t>
  </si>
  <si>
    <t>Bad indentation</t>
  </si>
  <si>
    <t>Wrong font</t>
  </si>
  <si>
    <t>FRD-like text in SDP (referencing SDP 1.0!) from v1.2 or earlier still in v5.4 for no particular reason</t>
  </si>
  <si>
    <t>Remove attribute IDs from SDP</t>
  </si>
  <si>
    <t>Must a server support indications on Encrypted Data Key Material?</t>
  </si>
  <si>
    <t>TSE 23580 Rejected</t>
  </si>
  <si>
    <t>Wrong link</t>
  </si>
  <si>
    <t>Existing language implies ensuring that an authenticated link key is created could occur if Authentication_Requirements do not include a MITM Protection Required option.</t>
  </si>
  <si>
    <t>Discoverability mode requirements don't make sense</t>
  </si>
  <si>
    <t>Inconsistent security requirements</t>
  </si>
  <si>
    <t>Periodic Advertising Connection procedure is a connection procedure</t>
  </si>
  <si>
    <t>Security mode association with "physical connection" ambiguous</t>
  </si>
  <si>
    <t>No Method to handle Pairing Request collision for Cross-Transport Key Derivation over BR/EDR</t>
  </si>
  <si>
    <t>Rewrite for clarity</t>
  </si>
  <si>
    <t>One instance of wrong term</t>
  </si>
  <si>
    <t>Missing full stop</t>
  </si>
  <si>
    <t>Confusion Direct / Directed</t>
  </si>
  <si>
    <t>Bondable mode: set Bonding_Flags in the Pairing Response</t>
  </si>
  <si>
    <t>GAP shall be a *primary* service</t>
  </si>
  <si>
    <t>Lacunae from erratum 18905</t>
  </si>
  <si>
    <t>error in note on having ATT_MTU -1 bytes of content in an indication</t>
  </si>
  <si>
    <t>Errata 15248 follow up: does EATT over BR/EDR use ERTM or ECBFC mode?</t>
  </si>
  <si>
    <t>Missing cross-transport requirements in Core Configurations</t>
  </si>
  <si>
    <t>Inconsistent spacing</t>
  </si>
  <si>
    <t>Grammar error</t>
  </si>
  <si>
    <t>GAP and GATT service names in Core and Assigned Numbers are different</t>
  </si>
  <si>
    <t>Name of Notifications procedure changed to Single Notifications</t>
  </si>
  <si>
    <t>Unclarity on ATT/GATT requirements on behaviour when indications and notifications are simultaneously enabled</t>
  </si>
  <si>
    <t>What is the wrong size?</t>
  </si>
  <si>
    <t>Spurious mention of "PDU"</t>
  </si>
  <si>
    <t>ATT Protocol Opcodes of Signed Write Without Response in Table 4.2 is inconsistent</t>
  </si>
  <si>
    <t>Inconsistent singular and plural names</t>
  </si>
  <si>
    <t>Do not hyphenate "subfield".</t>
  </si>
  <si>
    <t>C.1 in Table 7.1 GATT Profile service characteristic support is inconsistent</t>
  </si>
  <si>
    <t>Read Multiple Variable Length Characteristic Values is missing from GATT PROCEDURE MAPPING TO ATT PROTOCOL OPCODES (Table 4.2)</t>
  </si>
  <si>
    <t>SMP Failed Reason when Host is Busy</t>
  </si>
  <si>
    <t>Fix wrong fonts and indentation in erratum 16988 changes</t>
  </si>
  <si>
    <t>Inconsistent use of PKa in the security diagrams</t>
  </si>
  <si>
    <t>Grammatical issue</t>
  </si>
  <si>
    <t>Clarification on legality of synchronizing to the same BIG twice (simultaneously)</t>
  </si>
  <si>
    <t>Resolve integration clash</t>
  </si>
  <si>
    <t>Missing host features in LE Set Host Feature command</t>
  </si>
  <si>
    <t>Lacuna in erratum 24039</t>
  </si>
  <si>
    <t>How to process keys that are to be deleted but are still in use</t>
  </si>
  <si>
    <t>Host features missing from LE Set Host Feature command</t>
  </si>
  <si>
    <t>Can iso data path be set when ISO Test mode has been enabled?</t>
  </si>
  <si>
    <t>Wrong descriptions for CTE_Type</t>
  </si>
  <si>
    <t>Clarify if the periodic advertising train has to be enabled before issuing LE Create BIG command</t>
  </si>
  <si>
    <t>The Host doesn't have to wait for free buffers</t>
  </si>
  <si>
    <t>Versioned events wording doesn't mention support</t>
  </si>
  <si>
    <t>Wrong requirements for Write Default Erroneous Data Reporting command</t>
  </si>
  <si>
    <t>TSE 23101 Rejected</t>
  </si>
  <si>
    <t>Inconsistent rule about ignoring Receive_Bandwidth</t>
  </si>
  <si>
    <t>Missing missing parameters information</t>
  </si>
  <si>
    <t>PAST returning success but not transmitting</t>
  </si>
  <si>
    <t>TSE 22971 Released with TCRL 2024-1</t>
  </si>
  <si>
    <t>TSE 22733 Released with TCRL 2023-1</t>
  </si>
  <si>
    <t xml:space="preserve">Clarification about Response_Slot_Start and Response_Slot_Count </t>
  </si>
  <si>
    <t>The value range of BIG_Sync_Delay parameter in HCI_LE_Create_BIG_Complete event needs clarify</t>
  </si>
  <si>
    <t>Not allowed to set all non-reserved bits of CTE_Type in the LE Set Periodic Advertising Sync Transfer Parameters command</t>
  </si>
  <si>
    <t>Missing [v1] tags</t>
  </si>
  <si>
    <t>Initiating_PHYs is used for calculating the length of the parameters in LE ext create connection</t>
  </si>
  <si>
    <t>Description of Delete_All parameter in Delete Store Link Key suggests its behavior may be optional.</t>
  </si>
  <si>
    <t>A recommendation relating to PIN code strength is included in the Host Controller Interface volume.</t>
  </si>
  <si>
    <t>Can the HCI_Number_Of_Completed_Packets event be used also when broadcasting ISO data in BIG events?</t>
  </si>
  <si>
    <t>C.142 should refer to Controller features</t>
  </si>
  <si>
    <t xml:space="preserve">25205
</t>
  </si>
  <si>
    <t>TSE 25027 Released with TCRL 2024-2</t>
  </si>
  <si>
    <t>HCI handling of periodic advertising synchronizing sub-state timeout</t>
  </si>
  <si>
    <t>Confusion regarding the Duration and Period parameters for the LE Set Extended Scan Enable Command</t>
  </si>
  <si>
    <t>Missing reject criteria on response subevent of LE Set Periodic Advertising Response Data command</t>
  </si>
  <si>
    <t>Section 7.7.65.15 Should have stated that TxPower is contained in the report if the advertisment contains a TxPower field</t>
  </si>
  <si>
    <t>Data_Length max value in LE Periodic Advertising Report event needs to consider the new paramaters in V2</t>
  </si>
  <si>
    <t>Need clarification on how to handle multiple occurrences of the same subevent in the LE Set Periodic Advertising Subevent Data command if allowed</t>
  </si>
  <si>
    <t>TSE 23466 Released with TCRL 2024-1</t>
  </si>
  <si>
    <t>Clarifying usage of subevent parameter in LE Extended Create Connection command V2</t>
  </si>
  <si>
    <t>Issues with disconnecting a CIS before it is created</t>
  </si>
  <si>
    <t>TSE 23370 Released with TCRL 2024-2</t>
  </si>
  <si>
    <t xml:space="preserve">Sending Reports For Responses That's Not Received </t>
  </si>
  <si>
    <t>Packet Too Long in LE Set Periodic Advertising Response Data command</t>
  </si>
  <si>
    <t>Scan frequency table offsets are misaligned</t>
  </si>
  <si>
    <t>Ambiguous requirements for ISO data transfer after HCI_LE_Setup_ISO_Data_Path when using bidirectional CIS</t>
  </si>
  <si>
    <t>Clarify parameter restrictions for HCI LE Set Default Subrate</t>
  </si>
  <si>
    <t>Access to additional CIS parameters</t>
  </si>
  <si>
    <t>Does subevent data needs to be sent in order in Periodic Advertising with Response Feature ?</t>
  </si>
  <si>
    <t>ADI field for AUX_SYNC_SUBEVENT_IND</t>
  </si>
  <si>
    <t>Subevent value in LE Set Periodic Advertising Subevent Data command</t>
  </si>
  <si>
    <t>Clarification regarding periodic advertising data command</t>
  </si>
  <si>
    <t>Wrong capitalization and missing heading</t>
  </si>
  <si>
    <t>Use the HCI_XXX_XXX format throughout table 3.1</t>
  </si>
  <si>
    <t>Missing page breaks</t>
  </si>
  <si>
    <t>Resolved Private Address vs Resolvable Private address</t>
  </si>
  <si>
    <t>Two table entries aren't clickable.</t>
  </si>
  <si>
    <t>Use more specific link</t>
  </si>
  <si>
    <t>Capitalization of "Event(s) generated"</t>
  </si>
  <si>
    <t>Inconsistency when referring to versioned commands and events</t>
  </si>
  <si>
    <t>Tx_Power should be changed to TX_Power</t>
  </si>
  <si>
    <t>Should `segments` be `fragments`</t>
  </si>
  <si>
    <t>some typos or inconsistance introduced in 5.4 HCI</t>
  </si>
  <si>
    <t>Unusual section reference</t>
  </si>
  <si>
    <t>LE Set Periodic Advertising Enable bit 1 of Enable for AUX_SYNC_SUBEVENT_IND</t>
  </si>
  <si>
    <t>Sequence number reference is wrong</t>
  </si>
  <si>
    <t>Obsolete text</t>
  </si>
  <si>
    <t>Missing version number</t>
  </si>
  <si>
    <t>Events Generated after issuing "LE Write RF Path Compensation command"</t>
  </si>
  <si>
    <t>Split a couple of paragraphs</t>
  </si>
  <si>
    <t>Remnants of AMP removal</t>
  </si>
  <si>
    <t>Bullet point doesn't have sub-bullets</t>
  </si>
  <si>
    <t>Inconsistent dash colours in figure</t>
  </si>
  <si>
    <t>Presentation of defaults</t>
  </si>
  <si>
    <t>Request for clarification - MSE (Maximum Subevents) parameter interpretation</t>
  </si>
  <si>
    <t>Commands and events should use the HCI_XX_XX format</t>
  </si>
  <si>
    <t>Connection CTE responses disabled autonomously by the Controller</t>
  </si>
  <si>
    <t>Is output power level the same as radiative power level?</t>
  </si>
  <si>
    <t>Receiver interference tests using the wrong wanted signal power level</t>
  </si>
  <si>
    <t>Note to the obsolete Bluetooth Low Energy Regulatory White Paper still present in v5.3</t>
  </si>
  <si>
    <t>clarification about the latest that a response can be sent</t>
  </si>
  <si>
    <t>Recommended value for TargetA in AUX_CONNECT_RSP</t>
  </si>
  <si>
    <t>Add a reference to the section where encryption engine is decribed</t>
  </si>
  <si>
    <t>SDU intervals in LL_CIS_REQ have no valid ranges specified</t>
  </si>
  <si>
    <t>The length of a particular CIS event</t>
  </si>
  <si>
    <t>The definition of BIS_Spacing needs to be clarified</t>
  </si>
  <si>
    <t>Privacy recommendation relating to Host behavior in the LE Link Layer Part.</t>
  </si>
  <si>
    <t>There are no directed AUX_SYNC_IND PDUs</t>
  </si>
  <si>
    <t>Lacunae from erratum 20476</t>
  </si>
  <si>
    <t>Support for various types of advertising</t>
  </si>
  <si>
    <t>TSE 18402 Released with TCRL 2024-1</t>
  </si>
  <si>
    <t>TSE 24877 Released with TCRL 2024-2</t>
  </si>
  <si>
    <t>TSE 24878 Released with TCRL 2024-2</t>
  </si>
  <si>
    <t>Periodic Advertising Sync Transfer procedure In Case of PAwR</t>
  </si>
  <si>
    <t>confusion on Channel Selection Algo #2</t>
  </si>
  <si>
    <t>Transmit power level for BISes</t>
  </si>
  <si>
    <t>Can a BIG be created starting from PAwR?</t>
  </si>
  <si>
    <t>TSE 23586 Released with TCRL 2024-2</t>
  </si>
  <si>
    <t>TSE 23565 Released with TCRL 2024-2</t>
  </si>
  <si>
    <t xml:space="preserve">Sending Scan Response Advertising Reports With Duplicate Filtering </t>
  </si>
  <si>
    <t>Doe PAwR require support for Periodic Advertising?</t>
  </si>
  <si>
    <t>CIS Event may be closed early without CIE bit</t>
  </si>
  <si>
    <t>Conflict over whether a CIS must transmit</t>
  </si>
  <si>
    <t>TSE 23009 Released with TCRL 2024-1</t>
  </si>
  <si>
    <t>PAwR - maximum Subevent_Data length</t>
  </si>
  <si>
    <t>TSE 23119 Released with TCRL 2024-2</t>
  </si>
  <si>
    <t>Do isochronous connections have an authenticated payload timeout?</t>
  </si>
  <si>
    <t>Inconsistent requirements about making a connection</t>
  </si>
  <si>
    <t>Make the Connection Parameters Request procedure optional</t>
  </si>
  <si>
    <t>CIS link FT&gt;1, Peripheral don‚Äôt check the FT information</t>
  </si>
  <si>
    <t>clarification for the usage or LE Periodic Advertising Subevent Data Request event in Periodic Advertising with Response Feature</t>
  </si>
  <si>
    <t>Typo: Ssuv_Interval in Figure 2.50</t>
  </si>
  <si>
    <t>Clarify the wording about the Connection Parameter Update procedure in certain cases</t>
  </si>
  <si>
    <t>Remove LSB/MSB tags in some PDUs</t>
  </si>
  <si>
    <t>Rotate the CtrData field figure</t>
  </si>
  <si>
    <t>Remove "PDU" from section title</t>
  </si>
  <si>
    <t>Clarify that per device, Advertising SID is not required to be unique</t>
  </si>
  <si>
    <t>Remove duplicate explanations</t>
  </si>
  <si>
    <t>Redraw figure 2.20 to make it slightly smaller</t>
  </si>
  <si>
    <t>Consider using vertical text</t>
  </si>
  <si>
    <t>Editorial changes to random address generation</t>
  </si>
  <si>
    <t>What is a pars?</t>
  </si>
  <si>
    <t>Insufficient LE Channel Selection algorithm #2 sample data</t>
  </si>
  <si>
    <t>MSCs for LE Channel Selection Algorithm events</t>
  </si>
  <si>
    <t>What is "corresponding connection" when receiving a MIC failure on a CIS or ACL?</t>
  </si>
  <si>
    <t>Request for clarification on order of Padded PDUs</t>
  </si>
  <si>
    <t>TSE 23469 Rejected</t>
  </si>
  <si>
    <t>TSE 25010 Released with TCRL 2024-1</t>
  </si>
  <si>
    <t>Inconsistent style for formulae</t>
  </si>
  <si>
    <t>Bad parentheses and wording</t>
  </si>
  <si>
    <t>Framed PDU A PDU that contains one or more segments.</t>
  </si>
  <si>
    <t>Request for Clarification - Recombination actions when only padding unframed PDUs are received</t>
  </si>
  <si>
    <t>TSE 24417 Rejected</t>
  </si>
  <si>
    <t>New terminology for unframed PDU parameters</t>
  </si>
  <si>
    <t>MWS scan frequency unspecified behavior when not set</t>
  </si>
  <si>
    <t>BARB review of Atlanta r02</t>
  </si>
  <si>
    <t>Requirements for randomness</t>
  </si>
  <si>
    <t>TSE 24480 Open</t>
  </si>
  <si>
    <t>BARB review of Atlanta r07</t>
  </si>
  <si>
    <t>TBDs in Atlanta r01</t>
  </si>
  <si>
    <t>Security changes - batch 1</t>
  </si>
  <si>
    <t>TSE 24685 Released with TCRL 2024-2</t>
  </si>
  <si>
    <t>TSE 24686 Released with TCRL 2024-2</t>
  </si>
  <si>
    <t>TSE 24697 Rejected</t>
  </si>
  <si>
    <t>Core Configurations Amendment for Atlanta</t>
  </si>
  <si>
    <t>4/Technical Critical</t>
  </si>
  <si>
    <t>Rename volumes 0 and 1</t>
  </si>
  <si>
    <t>Atlanta r07 legal review</t>
  </si>
  <si>
    <t>Meanings of zero octets</t>
  </si>
  <si>
    <t>Spacing issues in Atlanta r02</t>
  </si>
  <si>
    <t>Do not hyphenate "subsection"</t>
  </si>
  <si>
    <t>Include units of measurement in between commas</t>
  </si>
  <si>
    <t>Placement of conditions in tables</t>
  </si>
  <si>
    <t>Dodgy logo</t>
  </si>
  <si>
    <t>Inconsistent use of "I/O Capabilities" term</t>
  </si>
  <si>
    <t>Spurious spaces</t>
  </si>
  <si>
    <t>Capitalization of "Reserved for Future Use"</t>
  </si>
  <si>
    <t>Revise "DUT" to "IUT"</t>
  </si>
  <si>
    <t>TSE 22977 Released with TCRL 2023-1</t>
  </si>
  <si>
    <t>TSE 22978 Released with TCRL 2023-1</t>
  </si>
  <si>
    <t>Use √ó and √∑ instead of * and /.</t>
  </si>
  <si>
    <t>References to HCI outside HCI</t>
  </si>
  <si>
    <t>Consistent style for HCI parameter descriptions</t>
  </si>
  <si>
    <t>Missing type information</t>
  </si>
  <si>
    <t>Can't have more than one Periodic Advertising Response Timing Information AD item</t>
  </si>
  <si>
    <t>Wrong data type size and wrong minimum values for Response_Slot_Delay and Response_Slot_Spacing</t>
  </si>
  <si>
    <t>Use italics</t>
  </si>
  <si>
    <t>References from CSS to Core</t>
  </si>
  <si>
    <t>Clarify whether the term "Adaptive Frequency Hopping" applies to LE</t>
  </si>
  <si>
    <t>Clarify "increment" and "decrement"</t>
  </si>
  <si>
    <t>Use correct packet names</t>
  </si>
  <si>
    <t>Hard to read figure</t>
  </si>
  <si>
    <t>XOR symbol in figures</t>
  </si>
  <si>
    <t>Plus-in-circle symbol</t>
  </si>
  <si>
    <t>Figures need redrawing</t>
  </si>
  <si>
    <t>Full stop consistency</t>
  </si>
  <si>
    <t>Correct usage of two's complement</t>
  </si>
  <si>
    <t>TSE 23499 Released with TCRL 2024-2</t>
  </si>
  <si>
    <t>TSE 23170 Released with TCRL 2024-1</t>
  </si>
  <si>
    <t>TSE 22388 Released with TCRL 2023-1</t>
  </si>
  <si>
    <t>TSE 23981 Released with TCRL 2024-1</t>
  </si>
  <si>
    <t>TSE 24051 Released with TCRL 2024-1</t>
  </si>
  <si>
    <t>TSE 24670 Released with TCRL 2024-2</t>
  </si>
  <si>
    <t>TSE 23468 Released with TCRL 2024-1</t>
  </si>
  <si>
    <t>TSE 24021 Open</t>
  </si>
  <si>
    <t>TSE 22166 Released with TCRL 2024-1</t>
  </si>
  <si>
    <t>TSE 23143 Released with TCRL 2024-1</t>
  </si>
  <si>
    <t>TSE 22966 Released with TCRL 2024-2</t>
  </si>
  <si>
    <t>TSE 24725 Rejected</t>
  </si>
  <si>
    <t>TSE 23559 Open</t>
  </si>
  <si>
    <t>TSE 24059 Released with TCRL 2024-2</t>
  </si>
  <si>
    <t>TSE 24271 Released with TCRL 2024-1</t>
  </si>
  <si>
    <t>TSE 23651 Released with TCRL 2024-1</t>
  </si>
  <si>
    <t>TSE 22503 Rejected</t>
  </si>
  <si>
    <t xml:space="preserve">TSE 22968 Released with TCRL 2024-2 </t>
  </si>
  <si>
    <t>TSE 23971 Released with TCRL 2024-2</t>
  </si>
  <si>
    <t>TSE 24028 Released with TCRL 2024-2</t>
  </si>
  <si>
    <t>TSE 23206 Open</t>
  </si>
  <si>
    <t>TSE 23118 Released with TCRL 2024-1</t>
  </si>
  <si>
    <t>TSE 22974 Released with TCRL 2024-2</t>
  </si>
  <si>
    <t>TSE 22968 Released with TCRL 2024-2</t>
  </si>
  <si>
    <t>TSE 22502 Released with TCRL 2024-2</t>
  </si>
  <si>
    <t>TSE 24885 Released with TCRL 2024-2</t>
  </si>
  <si>
    <t>TSE 24027 Released with TCRL 2024-2</t>
  </si>
  <si>
    <t>TSE 23973 Released with TCRL 2024-1</t>
  </si>
  <si>
    <t>TSE 23467 Released with TCRL 2024-1</t>
  </si>
  <si>
    <t>TSE 23563 Released with TCRL 2024-1</t>
  </si>
  <si>
    <t>TSE 23156 Released with TCRL 2024-1</t>
  </si>
  <si>
    <t>TSE 22975 Released with TCRL 2024-2</t>
  </si>
  <si>
    <t>TSE 23209 Released with TCRL 2024-1</t>
  </si>
  <si>
    <t>TSE 22967 Released with TCRL 2024-2</t>
  </si>
  <si>
    <t>TSE 23972 Released with TCRL 2024-1</t>
  </si>
  <si>
    <t>TSE 23008 Released with TCRL 2024-2</t>
  </si>
  <si>
    <t>TSE 22146 Released with TCRL 2022-2</t>
  </si>
  <si>
    <t>TSE 22211 Rejected</t>
  </si>
  <si>
    <t>TSE 25507 Rejected</t>
  </si>
  <si>
    <t>TSE 24299 Released with TCRL 2024-2</t>
  </si>
  <si>
    <t>TSE 18350 Released with TCRL 2024-1</t>
  </si>
  <si>
    <t>TSE 24806 Open</t>
  </si>
  <si>
    <t>TSE 23485 Released with TCRL 2024-2</t>
  </si>
  <si>
    <t>TSE 22642 Rejected</t>
  </si>
  <si>
    <t>TSE 22478 Rejected</t>
  </si>
  <si>
    <t>TSE 22390 Released with TCRL 2024-2</t>
  </si>
  <si>
    <t>TSE 24333 Released with TCRL 2024-2</t>
  </si>
  <si>
    <t>TSE 24225 Rejected</t>
  </si>
  <si>
    <t>TSE 18957 Released with TCRL 2024-2</t>
  </si>
  <si>
    <t>TSE 25664 Released with TCRL 2024-2</t>
  </si>
  <si>
    <t>TSE 24683 Released with TCRL 2024-2</t>
  </si>
  <si>
    <t>TSE 24684 Open</t>
  </si>
  <si>
    <t>TSE 22976 Rejected</t>
  </si>
  <si>
    <t>TSE 24726 Released with TCRL 2024-2</t>
  </si>
  <si>
    <t>24617 follow up</t>
  </si>
  <si>
    <t>0C - Revision History and Acknowledgments</t>
  </si>
  <si>
    <t>1A - Architecture</t>
  </si>
  <si>
    <t>1B - Acronyms and Abbreviations</t>
  </si>
  <si>
    <t>1E - General Terminology and Interpretation</t>
  </si>
  <si>
    <t>1F - Controller Error Codes</t>
  </si>
  <si>
    <t>2A - RF Physical Layer (BR/EDR)</t>
  </si>
  <si>
    <t>2B - Baseband</t>
  </si>
  <si>
    <t>2C - LMP</t>
  </si>
  <si>
    <t>2F - MSCs (BR/EDR)</t>
  </si>
  <si>
    <t>2G - Sample Data (BR/EDR)</t>
  </si>
  <si>
    <t>2H - Security Specification</t>
  </si>
  <si>
    <t>3A - L2CAP</t>
  </si>
  <si>
    <t>3B - SDP</t>
  </si>
  <si>
    <t>3C - GAP</t>
  </si>
  <si>
    <t>3F - Attribute Protocol (ATT)</t>
  </si>
  <si>
    <t>3G - Generic Attribute Protocol (GATT)</t>
  </si>
  <si>
    <t>3H - Security Manager Specification</t>
  </si>
  <si>
    <t>4E - HCI</t>
  </si>
  <si>
    <t>6A - RFPHY Physical Layer (LE)</t>
  </si>
  <si>
    <t>6B - Link Layer</t>
  </si>
  <si>
    <t>6C - Sample Data (LE)</t>
  </si>
  <si>
    <t>6D - MSCs (LE)</t>
  </si>
  <si>
    <t>6E - LE Link Layer Security</t>
  </si>
  <si>
    <t>6G - Isochronous Adaptation Layer (ISOAL)</t>
  </si>
  <si>
    <t>7A - COEX Logical Signaling</t>
  </si>
  <si>
    <t>Core (Not Associated with a Specific Part)</t>
  </si>
  <si>
    <t>Core Bulk Editorial</t>
  </si>
  <si>
    <t>CSS A - Data Types</t>
  </si>
  <si>
    <t>CSS C - Services Permitted to use SM4L0</t>
  </si>
  <si>
    <t>v5.4</t>
  </si>
  <si>
    <t xml:space="preserve">v5.4 Editorial </t>
  </si>
  <si>
    <t>v5.3 Editorial</t>
  </si>
  <si>
    <t>Legal comment resolution - remove extra period</t>
  </si>
  <si>
    <t>Core -&gt; Randomized RPA Updates</t>
  </si>
  <si>
    <t>Allocate numbers for TBDs</t>
  </si>
  <si>
    <t>Released with TCRL 2025-2</t>
  </si>
  <si>
    <t>Updated for editorial issues</t>
  </si>
  <si>
    <t xml:space="preserve">Core -&gt; Monitoring Advertisers </t>
  </si>
  <si>
    <t>No value in bits 0 to 3 of Tone_Quality_Indicator for tone is unavailable</t>
  </si>
  <si>
    <t>Core -&gt; HCI for Channel Sounding</t>
  </si>
  <si>
    <t>Command forces error to be returned in completion event</t>
  </si>
  <si>
    <t>Released with TCRL 2025-1</t>
  </si>
  <si>
    <t>How to handle an out of range Tx_Power_Delta</t>
  </si>
  <si>
    <t>Missing check for invalid mode combinations in CS Configurations</t>
  </si>
  <si>
    <t>ES-26113 - Rejected
ES-26114 - Released with TCRL 2025-2</t>
  </si>
  <si>
    <t>ES-26113
ES-26114</t>
  </si>
  <si>
    <t>ES-26114 - 4</t>
  </si>
  <si>
    <t>CS HCI CR: HCI CS_SYNC antenna selection options does not hit all antenna path combinations</t>
  </si>
  <si>
    <t>Rejected - Changed parameters are RFU</t>
  </si>
  <si>
    <t>Min_Main_Mode_Steps and Max_Main_Mode_Steps should start range from 0x01 instead of 0x02</t>
  </si>
  <si>
    <t>Is the next connection event always on a different channel index?</t>
  </si>
  <si>
    <t>Core -&gt; Frame Space Update</t>
  </si>
  <si>
    <t>T_MCES start point is undefined</t>
  </si>
  <si>
    <t>The description for service list in Assigned_Numbers.pdf and CSS_v11.pdf are different</t>
  </si>
  <si>
    <t>Core -&gt; CSS A - Data Types</t>
  </si>
  <si>
    <t>Core -&gt; Core (Not Associated with a Specific Part)</t>
  </si>
  <si>
    <t>Wrong style for intra-Part references</t>
  </si>
  <si>
    <t>ES-26423 - Released with TCRL 2024-2 as an edition
ES-26424 - Released with TCRL 2024-2 as an edition
ES-26425 - Released with TCRL 2025-2
ES-26426 - Released with TCRL 2025-2</t>
  </si>
  <si>
    <t>ES-26423
ES-26424
ES-26425
ES-26426</t>
  </si>
  <si>
    <t>ES-26423 - 1
ES-26424 - 1
ES-26425 - 1
ES-26426 - 1</t>
  </si>
  <si>
    <t>The plural of "antenna" is "antennae"</t>
  </si>
  <si>
    <t>change "Group Prepared by:" to "Prepared By:" on Core and CSS cover pages</t>
  </si>
  <si>
    <t>Use of "numerical" in a few places whereas "numeric" seems to be preferred</t>
  </si>
  <si>
    <t>utf8s type name is written as utf8</t>
  </si>
  <si>
    <t>ES-25199 - Released with TCRL 2025-2
ES-25200 - Released with TCRL 2025-2
ES-25201 - Released with TCRL 2025-2
ES-25202 - Released with TCRL 2025-2</t>
  </si>
  <si>
    <t>ES-25199
ES-25200
ES-25201
ES-25202</t>
  </si>
  <si>
    <t>ES-25199 - 1
ES-25200 - 1
ES-25201 - 1
ES-25202 - 1</t>
  </si>
  <si>
    <t>Rename "Connection Rejected" errors to just "Rejected"</t>
  </si>
  <si>
    <t>ES-25805 - Released with TCRL 2025-2
ES-25775 - Released with TCRL 2025-2
ES-25836 - Released with TCRL 2025-2
ES-25807 - Released with TCRL 2025-2</t>
  </si>
  <si>
    <t>ES-25805
ES-25775
ES-25836
ES-25807</t>
  </si>
  <si>
    <t>ES-25805 - 1
ES-25775 - 2
ES-25836 - 1
ES-25807 - 2</t>
  </si>
  <si>
    <t>Integrate Expedited Erratum 25800 into v6.0</t>
  </si>
  <si>
    <t>What are instance repeats</t>
  </si>
  <si>
    <t>Core -&gt; Channel Sounding</t>
  </si>
  <si>
    <t>CS is not an addition</t>
  </si>
  <si>
    <t>Unnecessary references in the feature summary</t>
  </si>
  <si>
    <t>Bad naming in formula for LL_CS_IND instant in past check</t>
  </si>
  <si>
    <t>Typo in LL_CS_IND packet description</t>
  </si>
  <si>
    <t>Fix case in erratum 25543</t>
  </si>
  <si>
    <t>Using the same wording</t>
  </si>
  <si>
    <t>Procedure collision description is incomplete</t>
  </si>
  <si>
    <t>Is RTT packet the same as CS_SYNC?</t>
  </si>
  <si>
    <t>Rejected - HCI changes untestable</t>
  </si>
  <si>
    <t>Return error code for when changing channel map in procedure repeat case</t>
  </si>
  <si>
    <t>Servicing non-subrated connection events with channel sounding</t>
  </si>
  <si>
    <t>each N_AP set of T_PM length transmissions shall be followed by a CS tone extension slot</t>
  </si>
  <si>
    <t>Subevent_Len range different between LL_CS_REQ and HCI_LE_CS_Set_Procedure_Parameters</t>
  </si>
  <si>
    <t>LE CS Procedure Enable Complete event when peer-initiated procedure is rejected</t>
  </si>
  <si>
    <t>Clarification about the representations of Antenna path positions</t>
  </si>
  <si>
    <t>Core -&gt; 6H - Channel Sounding</t>
  </si>
  <si>
    <t>Incorrect term CS_DRGB used in Figures 4.4 and 4.5</t>
  </si>
  <si>
    <t>Consistent case for "otherwise" clauses in conditions</t>
  </si>
  <si>
    <t>Harmonizing Wording for "Tone Extension Slot"</t>
  </si>
  <si>
    <t>Consider using a clearer formal language</t>
  </si>
  <si>
    <t>fix broken link in first paragraph</t>
  </si>
  <si>
    <t>Core -&gt; 6B - Link Layer</t>
  </si>
  <si>
    <t>Make the 1 value meaning more obvious</t>
  </si>
  <si>
    <t>Broken reference in 25995</t>
  </si>
  <si>
    <t>Present or past completion?</t>
  </si>
  <si>
    <t>The Mode‚Äë0 FAE Update Table procedure does not exist</t>
  </si>
  <si>
    <t>Do not use "may not".</t>
  </si>
  <si>
    <t>Arrows and text in figure need adjusting</t>
  </si>
  <si>
    <t>Two instances of missed spaces between sentences.</t>
  </si>
  <si>
    <t>ACL MIC wording is less clear than CIS/BIS wording</t>
  </si>
  <si>
    <t>Address readability in Note</t>
  </si>
  <si>
    <t>Redraw figure 4.57</t>
  </si>
  <si>
    <t>Add field to all field names</t>
  </si>
  <si>
    <t>How to set MaxPage if the features in the highest page are all "don't send to peer"?</t>
  </si>
  <si>
    <t>Clarify that duplicate filtering is optional</t>
  </si>
  <si>
    <t>Errors in erratum 17874 for types introduced with Extended Advertising</t>
  </si>
  <si>
    <t>The InitA field setting requirement that doesn't take into account the Host request</t>
  </si>
  <si>
    <t>What features of BIGs are optional to receive?</t>
  </si>
  <si>
    <t>Excluding "LE 2M 2BT PHY" from "LL_PHY_REQ"</t>
  </si>
  <si>
    <t>Inappropriate error code that doesn't match the TS</t>
  </si>
  <si>
    <t>Remove the requirement that the length of CtrData is fixed for each opcode</t>
  </si>
  <si>
    <t>Core -&gt; 6A - RFPHY Physical Layer (LE)</t>
  </si>
  <si>
    <t>Command name not in HCI_ form</t>
  </si>
  <si>
    <t>Core -&gt; 4E - HCI</t>
  </si>
  <si>
    <t>Spurious paragraph break</t>
  </si>
  <si>
    <t>Tx_Power_Delta in the HCI_LE_CS_Set_Procedure_Parameters command has a '.' instead of a ','</t>
  </si>
  <si>
    <t>Typo correction, "respond" not "response"</t>
  </si>
  <si>
    <t>The hyperlink is wrong in LE CS Write Cached Remote FAE Table command</t>
  </si>
  <si>
    <t>Bad parameter block headings</t>
  </si>
  <si>
    <t>Wrong capitalization of heading</t>
  </si>
  <si>
    <t>Missing "Secure" in "Simple Pairing"</t>
  </si>
  <si>
    <t>The HCI command that HCI_LE_Read_PHY format is incorrect</t>
  </si>
  <si>
    <t>Consistent introduction to commands</t>
  </si>
  <si>
    <t>Separate errors into a new subsection for each command - Erratum 1 of 4</t>
  </si>
  <si>
    <t xml:space="preserve">In the equation "The Response_Slot_Spacing...10 √ó (Subevent_Interval - Response_Slot_Delay) / Num_Response_Slots..." is problematic. </t>
  </si>
  <si>
    <t>address of  a device in  PAwR synchronized state</t>
  </si>
  <si>
    <t>Specify error code for can't enable advertising set</t>
  </si>
  <si>
    <t>Revise text in Note to align with Drafting Guidelines</t>
  </si>
  <si>
    <t>Replace the term "index of a BIS" with "BIS number"</t>
  </si>
  <si>
    <t>Handling of Sync_CTE_Type parameter when not supporting Connectionless CTE Receiver</t>
  </si>
  <si>
    <t>The summary description for LE Read Filter Accept List Size command needs revision</t>
  </si>
  <si>
    <t>Why must host features be read during connection setup</t>
  </si>
  <si>
    <t>ES-16937 - Open - CR attached. BTI additional TSEs also for SM.ICS, no quick fixes
ES-25011 - Open - CR attached. BTI additional TSEs also for SM.ICS, no quick fixes</t>
  </si>
  <si>
    <t>ES-16937
ES-25011</t>
  </si>
  <si>
    <t>Is legacy pairing mandatory or optional to support?</t>
  </si>
  <si>
    <t>Core -&gt; 3H - Security Manager Specification</t>
  </si>
  <si>
    <t>Rejected - BTI deemed editorial changes unnecessary</t>
  </si>
  <si>
    <t>Inconsistent use of terminology GATT / Generic Attribute Profile Service</t>
  </si>
  <si>
    <t>Core -&gt; 3G - Generic Attribute Protocol (GATT)</t>
  </si>
  <si>
    <t>ECBFC mode should be listed as an option for EATT on BR/EDR</t>
  </si>
  <si>
    <t>Presentation format intended use</t>
  </si>
  <si>
    <t>Figure 4.6 in 4.6.2 Discover Characteristics by UUID doesn't match text above it</t>
  </si>
  <si>
    <t>Open - CR attached, in BTI review</t>
  </si>
  <si>
    <t>How should ATT_EXECUTE_WRITE_REQ behave if the client is change unaware?</t>
  </si>
  <si>
    <t>Core -&gt; 3F - Attribute Protocol (ATT)</t>
  </si>
  <si>
    <t>Confirm FIND_INFO_REQ/RSP requirements</t>
  </si>
  <si>
    <t xml:space="preserve">Typo: CS expanded as Connection Sounding </t>
  </si>
  <si>
    <t>Core -&gt; 3C - GAP</t>
  </si>
  <si>
    <t>Inconsistency in SDP service items</t>
  </si>
  <si>
    <t>Does a Peripheral need a Central Address Resolution characteristic?</t>
  </si>
  <si>
    <t>How can the GATT client know the indication/notification is for a secure attribute?</t>
  </si>
  <si>
    <t>GATT client requires GATT transport</t>
  </si>
  <si>
    <t>ES-25249 - Released with TCRL 2024-2
ES-25250 - Released with TCRL 2024-2
ES-25251 - Rejected</t>
  </si>
  <si>
    <t>ES-25249
ES-25250
ES-25251</t>
  </si>
  <si>
    <t>ES-25249 - 4
ES-25250 - 2</t>
  </si>
  <si>
    <t>Inconsistent rules for BR/EDR support of GATT</t>
  </si>
  <si>
    <t>Synchronizable Mode should be Optional if Synchronization Train procedure is supported</t>
  </si>
  <si>
    <t>Mixed case in Tx</t>
  </si>
  <si>
    <t>Core -&gt; 3A - L2CAP</t>
  </si>
  <si>
    <t>Figures A.1 and A.2 are missing information</t>
  </si>
  <si>
    <t>Applications requiring encrypted data may receive and potentionally act on unencrypted data on connectionless channels.</t>
  </si>
  <si>
    <t>MSC uses a removed command</t>
  </si>
  <si>
    <t>Core -&gt; 2F - MSCs (BR/EDR)</t>
  </si>
  <si>
    <t>Requirement on Host in message sequence chart</t>
  </si>
  <si>
    <t>Don't need conditional requirements using mandatory features</t>
  </si>
  <si>
    <t>Core -&gt; 2C - LMP</t>
  </si>
  <si>
    <t>Mutual authentication failure must result in a detach</t>
  </si>
  <si>
    <t>When is a Central allowed to request channel classification information?</t>
  </si>
  <si>
    <t>Requirements for LMP are in LMP, not the qualification process</t>
  </si>
  <si>
    <t>Spurious solidus</t>
  </si>
  <si>
    <t>Core -&gt; 2B - Baseband</t>
  </si>
  <si>
    <t>BARB approved changes to the language conventions and table requirements</t>
  </si>
  <si>
    <t>Core -&gt; 1E - General Terminology and Interpretation</t>
  </si>
  <si>
    <t>Add ln to the table of symbols</t>
  </si>
  <si>
    <t>Put all user data types on the top row</t>
  </si>
  <si>
    <t>Core -&gt; 1A - Architecture</t>
  </si>
  <si>
    <t>Missing arrow</t>
  </si>
  <si>
    <t>Missing full stop and space.</t>
  </si>
  <si>
    <t>Core -&gt; 0C - Revision History and Acknowledgments</t>
  </si>
  <si>
    <t>p7</t>
  </si>
  <si>
    <t>Updated as of the TCRL 2025-2 release for v6.1 adoption. Updated TSE states throughout. Prepared for TCRL 2025-2 publication.</t>
  </si>
  <si>
    <r>
      <rPr>
        <b/>
        <sz val="10"/>
        <color rgb="FF000000"/>
        <rFont val="Arial"/>
        <family val="2"/>
      </rPr>
      <t xml:space="preserve">This sheet summarizes Specification Errata implemented in Bluetooth v6.0 and the corresponding known Test Impact at the time of finalizing TCRL2024-2. It's provided for informative purposes only. </t>
    </r>
    <r>
      <rPr>
        <sz val="10"/>
        <color rgb="FF000000"/>
        <rFont val="Arial"/>
        <family val="2"/>
      </rPr>
      <t xml:space="preserve">
TSEs that are open at this time can eventually become part of updated qualification requirements in future TCRLs or conclude as rejected TSEs. At any time in the future additional TSEs may be necessary to further handle implications of the implemented errata. </t>
    </r>
  </si>
  <si>
    <r>
      <rPr>
        <b/>
        <sz val="10"/>
        <color rgb="FF000000"/>
        <rFont val="Arial"/>
        <family val="2"/>
      </rPr>
      <t xml:space="preserve">This sheet summarizes Specification Errata implemented in Bluetooth v5.4 and the corresponding known Test Impact at the time of finalizing TCRL 2022-2. It's provided for informative purposes only. </t>
    </r>
    <r>
      <rPr>
        <sz val="10"/>
        <color rgb="FF000000"/>
        <rFont val="Arial"/>
        <family val="2"/>
      </rPr>
      <t xml:space="preserve">
TSEs that are open at this time can eventually become part of updated qualification requirements in future TCRLs or conclude as rejected TSEs. At any time in the future additional TSEs may be necessary to further handle implications of the implemented errata. </t>
    </r>
  </si>
  <si>
    <r>
      <rPr>
        <b/>
        <sz val="10"/>
        <color rgb="FF000000"/>
        <rFont val="Arial"/>
        <family val="2"/>
      </rPr>
      <t xml:space="preserve">This sheet summarizes Specification Errata implemented in Bluetooth v6.1 and the corresponding known Test Impact at the time of finalizing TCRL2025-2. It's provided for informative purposes only. </t>
    </r>
    <r>
      <rPr>
        <sz val="10"/>
        <color rgb="FF000000"/>
        <rFont val="Arial"/>
        <family val="2"/>
      </rPr>
      <t xml:space="preserve">
TSEs that are open at this time can eventually become part of updated qualification requirements in future TCRLs or conclude as rejected TSEs. At any time in the future additional TSEs may be necessary to further handle implications of the implemented errata. </t>
    </r>
  </si>
  <si>
    <t>TSE 19110 Released with TCRL 2024-1</t>
  </si>
  <si>
    <r>
      <t xml:space="preserve">TSE 18900 </t>
    </r>
    <r>
      <rPr>
        <sz val="10"/>
        <color rgb="FFFF0000"/>
        <rFont val="Arial"/>
        <family val="2"/>
      </rPr>
      <t>Released with TCRL 2024-1</t>
    </r>
  </si>
  <si>
    <r>
      <t xml:space="preserve">TSE 20342 </t>
    </r>
    <r>
      <rPr>
        <sz val="10"/>
        <color rgb="FFFF0000"/>
        <rFont val="Arial"/>
        <family val="2"/>
      </rPr>
      <t>Released with TCRL 2025-1</t>
    </r>
  </si>
  <si>
    <r>
      <t xml:space="preserve">TSE 17703 </t>
    </r>
    <r>
      <rPr>
        <sz val="10"/>
        <color rgb="FFFF0000"/>
        <rFont val="Arial"/>
        <family val="2"/>
      </rPr>
      <t>Released with TCRL 2025-1</t>
    </r>
  </si>
  <si>
    <r>
      <t xml:space="preserve">TSE 18351 </t>
    </r>
    <r>
      <rPr>
        <sz val="10"/>
        <color rgb="FFFF0000"/>
        <rFont val="Arial"/>
        <family val="2"/>
      </rPr>
      <t>Released with TCRL 2024-1</t>
    </r>
  </si>
  <si>
    <r>
      <t xml:space="preserve">TSE 25102 </t>
    </r>
    <r>
      <rPr>
        <sz val="10"/>
        <color rgb="FFFF0000"/>
        <rFont val="Arial"/>
        <family val="2"/>
      </rPr>
      <t>Released with TCRL 2025-1</t>
    </r>
  </si>
  <si>
    <t>TSE 23117 Approved - Pending Dependency</t>
  </si>
  <si>
    <r>
      <t xml:space="preserve">TSE 24577 </t>
    </r>
    <r>
      <rPr>
        <sz val="10"/>
        <color rgb="FFFF0000"/>
        <rFont val="Arial"/>
        <family val="2"/>
      </rPr>
      <t>Rejected</t>
    </r>
  </si>
  <si>
    <r>
      <t xml:space="preserve">TSE 24479 </t>
    </r>
    <r>
      <rPr>
        <sz val="10"/>
        <color rgb="FFFF0000"/>
        <rFont val="Arial"/>
        <family val="2"/>
      </rPr>
      <t>Released with TCRL 2025-1</t>
    </r>
  </si>
  <si>
    <r>
      <t xml:space="preserve">TSE 25208 </t>
    </r>
    <r>
      <rPr>
        <sz val="10"/>
        <color rgb="FFFF0000"/>
        <rFont val="Arial"/>
        <family val="2"/>
      </rPr>
      <t>Released with TCRL 2025-2</t>
    </r>
  </si>
  <si>
    <r>
      <t xml:space="preserve">TSE 24898 </t>
    </r>
    <r>
      <rPr>
        <sz val="10"/>
        <color rgb="FFFF0000"/>
        <rFont val="Arial"/>
        <family val="2"/>
      </rPr>
      <t>Released with TCRL 2025-2</t>
    </r>
  </si>
  <si>
    <r>
      <t xml:space="preserve">TSE 24757 </t>
    </r>
    <r>
      <rPr>
        <sz val="10"/>
        <color rgb="FFFF0000"/>
        <rFont val="Arial"/>
        <family val="2"/>
      </rPr>
      <t>Released with TCRL 2025-2</t>
    </r>
  </si>
  <si>
    <r>
      <t xml:space="preserve">TSE 25205 </t>
    </r>
    <r>
      <rPr>
        <sz val="10"/>
        <color rgb="FFFF0000"/>
        <rFont val="Arial"/>
        <family val="2"/>
      </rPr>
      <t>Released with TCRL 2025-1</t>
    </r>
  </si>
  <si>
    <r>
      <t xml:space="preserve">TSE 24481 </t>
    </r>
    <r>
      <rPr>
        <sz val="10"/>
        <color rgb="FFFF0000"/>
        <rFont val="Arial"/>
        <family val="2"/>
      </rPr>
      <t>Released with TCRL 2025-1</t>
    </r>
  </si>
  <si>
    <r>
      <t xml:space="preserve">TSE 24673 </t>
    </r>
    <r>
      <rPr>
        <sz val="10"/>
        <color rgb="FFFF0000"/>
        <rFont val="Arial"/>
        <family val="2"/>
      </rPr>
      <t>Released with TCRL 2025-1</t>
    </r>
  </si>
  <si>
    <r>
      <t xml:space="preserve">TSE 23560 </t>
    </r>
    <r>
      <rPr>
        <sz val="10"/>
        <color rgb="FFFF0000"/>
        <rFont val="Arial"/>
        <family val="2"/>
      </rPr>
      <t>Released with TCRL 2025-2</t>
    </r>
  </si>
  <si>
    <r>
      <t xml:space="preserve">TSE 24672 </t>
    </r>
    <r>
      <rPr>
        <sz val="10"/>
        <color rgb="FFFF0000"/>
        <rFont val="Arial"/>
        <family val="2"/>
      </rPr>
      <t>Released with TCRL 2025-1</t>
    </r>
  </si>
  <si>
    <r>
      <t xml:space="preserve">TSE 24671 </t>
    </r>
    <r>
      <rPr>
        <sz val="10"/>
        <color rgb="FFFF0000"/>
        <rFont val="Arial"/>
        <family val="2"/>
      </rPr>
      <t>Released with TCRL 2025-2</t>
    </r>
  </si>
  <si>
    <r>
      <t xml:space="preserve">TSE 24707 </t>
    </r>
    <r>
      <rPr>
        <sz val="10"/>
        <color rgb="FFFF0000"/>
        <rFont val="Arial"/>
        <family val="2"/>
      </rPr>
      <t>Released with TCRL 2025-1</t>
    </r>
  </si>
  <si>
    <r>
      <t xml:space="preserve">TSE 25670 </t>
    </r>
    <r>
      <rPr>
        <sz val="10"/>
        <color rgb="FFFF0000"/>
        <rFont val="Arial"/>
        <family val="2"/>
      </rPr>
      <t>Released with TCRL 2025-1</t>
    </r>
  </si>
  <si>
    <r>
      <t xml:space="preserve">TSE 18571 </t>
    </r>
    <r>
      <rPr>
        <sz val="10"/>
        <color rgb="FFFF0000"/>
        <rFont val="Arial"/>
        <family val="2"/>
      </rPr>
      <t>Released with TCRL 2025-2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</si>
</sst>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m\-yyyy"/>
    <numFmt numFmtId="165" formatCode="yyyy\-mm\-dd;@"/>
  </numFmts>
  <fonts count="22" x14ac:knownFonts="1">
    <font>
      <sz val="10"/>
      <color rgb="FF000000"/>
      <name val="Arial"/>
    </font>
    <font>
      <sz val="10"/>
      <color indexed="8"/>
      <name val="Arial"/>
      <family val="2"/>
    </font>
    <font>
      <sz val="10"/>
      <color rgb="FF000000"/>
      <name val="Arial"/>
      <family val="2"/>
    </font>
    <font>
      <b/>
      <sz val="10"/>
      <color rgb="FF000000"/>
      <name val="Arial"/>
      <family val="2"/>
    </font>
    <font>
      <b/>
      <sz val="10"/>
      <name val="Arial"/>
      <family val="2"/>
    </font>
    <font>
      <u/>
      <sz val="10"/>
      <color theme="10"/>
      <name val="Arial"/>
      <family val="2"/>
    </font>
    <font>
      <sz val="10"/>
      <color rgb="FFFF0000"/>
      <name val="Arial"/>
      <family val="2"/>
    </font>
    <font>
      <u/>
      <sz val="10"/>
      <color theme="10"/>
      <name val="Arial"/>
      <family val="2"/>
    </font>
    <font>
      <sz val="10"/>
      <name val="Arial"/>
      <family val="2"/>
    </font>
    <font>
      <strike/>
      <sz val="10"/>
      <color indexed="8"/>
      <name val="Arial"/>
      <family val="2"/>
    </font>
    <font>
      <u/>
      <sz val="10"/>
      <color theme="4"/>
      <name val="Arial"/>
      <family val="2"/>
    </font>
    <font>
      <sz val="10"/>
      <color theme="1"/>
      <name val="Arial"/>
      <family val="2"/>
    </font>
    <font>
      <b/>
      <sz val="18"/>
      <color theme="1"/>
      <name val="Arial"/>
      <family val="2"/>
    </font>
    <font>
      <b/>
      <sz val="14"/>
      <color theme="1"/>
      <name val="Arial"/>
      <family val="2"/>
    </font>
    <font>
      <sz val="14"/>
      <color theme="1"/>
      <name val="Arial"/>
      <family val="2"/>
    </font>
    <font>
      <b/>
      <sz val="10"/>
      <color theme="1"/>
      <name val="Arial"/>
      <family val="2"/>
    </font>
    <font>
      <sz val="10"/>
      <color rgb="FF000000"/>
      <name val="Calibri"/>
      <family val="2"/>
      <scheme val="minor"/>
    </font>
    <font>
      <u/>
      <sz val="10"/>
      <color rgb="FF000000"/>
      <name val="Arial"/>
      <family val="2"/>
    </font>
    <font>
      <b/>
      <sz val="12"/>
      <color rgb="FFFF0000"/>
      <name val="Arial"/>
      <family val="2"/>
    </font>
    <font>
      <sz val="12"/>
      <color theme="1"/>
      <name val="Calibri"/>
      <family val="2"/>
      <scheme val="minor"/>
    </font>
    <font>
      <u/>
      <sz val="12"/>
      <color theme="10"/>
      <name val="Calibri"/>
      <family val="2"/>
      <scheme val="minor"/>
    </font>
    <font>
      <u/>
      <sz val="10"/>
      <color rgb="FF0070C0"/>
      <name val="Arial"/>
      <family val="2"/>
    </font>
  </fonts>
  <fills count="13">
    <fill>
      <patternFill patternType="none"/>
    </fill>
    <fill>
      <patternFill patternType="gray125"/>
    </fill>
    <fill>
      <patternFill patternType="solid">
        <fgColor indexed="9"/>
        <bgColor indexed="24"/>
      </patternFill>
    </fill>
    <fill>
      <patternFill patternType="solid">
        <fgColor indexed="22"/>
        <bgColor indexed="24"/>
      </patternFill>
    </fill>
    <fill>
      <patternFill patternType="solid">
        <fgColor indexed="22"/>
        <bgColor indexed="31"/>
      </patternFill>
    </fill>
    <fill>
      <patternFill patternType="solid">
        <fgColor rgb="FFC0C0C0"/>
        <bgColor indexed="64"/>
      </patternFill>
    </fill>
    <fill>
      <patternFill patternType="solid">
        <fgColor rgb="FFC0C0C0"/>
        <bgColor rgb="FFC0C0C0"/>
      </patternFill>
    </fill>
    <fill>
      <patternFill patternType="solid">
        <fgColor rgb="FFFFFFFF"/>
        <bgColor rgb="FFFFFFFF"/>
      </patternFill>
    </fill>
    <fill>
      <patternFill patternType="solid">
        <fgColor rgb="FFFFFFFF"/>
        <bgColor rgb="FFC0C0C0"/>
      </patternFill>
    </fill>
    <fill>
      <patternFill patternType="solid">
        <fgColor rgb="FFB1A0C7"/>
        <bgColor indexed="64"/>
      </patternFill>
    </fill>
    <fill>
      <patternFill patternType="solid">
        <fgColor rgb="FFFFD85B"/>
        <bgColor indexed="64"/>
      </patternFill>
    </fill>
    <fill>
      <patternFill patternType="solid">
        <fgColor rgb="FFC0C0C0"/>
        <bgColor indexed="24"/>
      </patternFill>
    </fill>
    <fill>
      <patternFill patternType="solid">
        <fgColor theme="7" tint="0.59999389629810485"/>
        <bgColor indexed="64"/>
      </patternFill>
    </fill>
  </fills>
  <borders count="3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style="thin">
        <color indexed="64"/>
      </right>
      <top style="thin">
        <color indexed="64"/>
      </top>
      <bottom style="thin">
        <color indexed="64"/>
      </bottom>
      <diagonal/>
    </border>
    <border>
      <left style="thin">
        <color indexed="8"/>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auto="1"/>
      </left>
      <right style="thin">
        <color auto="1"/>
      </right>
      <top/>
      <bottom style="medium">
        <color auto="1"/>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right/>
      <top/>
      <bottom style="thin">
        <color rgb="FF000000"/>
      </bottom>
      <diagonal/>
    </border>
    <border>
      <left/>
      <right/>
      <top style="medium">
        <color rgb="FF000000"/>
      </top>
      <bottom/>
      <diagonal/>
    </border>
  </borders>
  <cellStyleXfs count="7">
    <xf numFmtId="0" fontId="0" fillId="0" borderId="0"/>
    <xf numFmtId="0" fontId="7" fillId="0" borderId="0" applyNumberFormat="0" applyFill="0" applyBorder="0" applyAlignment="0" applyProtection="0"/>
    <xf numFmtId="0" fontId="8" fillId="0" borderId="0"/>
    <xf numFmtId="0" fontId="2" fillId="0" borderId="0"/>
    <xf numFmtId="0" fontId="16" fillId="0" borderId="0"/>
    <xf numFmtId="0" fontId="19" fillId="0" borderId="0"/>
    <xf numFmtId="0" fontId="20" fillId="0" borderId="0" applyNumberFormat="0" applyFill="0" applyBorder="0" applyAlignment="0" applyProtection="0"/>
  </cellStyleXfs>
  <cellXfs count="186">
    <xf numFmtId="0" fontId="0" fillId="0" borderId="0" xfId="0"/>
    <xf numFmtId="0" fontId="0" fillId="0" borderId="0" xfId="0" applyAlignment="1">
      <alignment horizontal="left"/>
    </xf>
    <xf numFmtId="0" fontId="2" fillId="0" borderId="0" xfId="0" applyFont="1"/>
    <xf numFmtId="0" fontId="0" fillId="0" borderId="0" xfId="0" applyAlignment="1">
      <alignment horizontal="center"/>
    </xf>
    <xf numFmtId="0" fontId="1" fillId="0" borderId="0" xfId="0" applyFont="1" applyAlignment="1">
      <alignment horizontal="left" vertical="center" wrapText="1"/>
    </xf>
    <xf numFmtId="0" fontId="8" fillId="0" borderId="0" xfId="0" applyFont="1" applyAlignment="1">
      <alignment wrapText="1"/>
    </xf>
    <xf numFmtId="0" fontId="4" fillId="0" borderId="0" xfId="0" applyFont="1"/>
    <xf numFmtId="0" fontId="6" fillId="0" borderId="0" xfId="0" applyFont="1" applyAlignment="1">
      <alignment horizontal="center"/>
    </xf>
    <xf numFmtId="0" fontId="7" fillId="0" borderId="0" xfId="1" applyAlignment="1">
      <alignment horizontal="center"/>
    </xf>
    <xf numFmtId="0" fontId="12" fillId="0" borderId="0" xfId="2" applyFont="1"/>
    <xf numFmtId="0" fontId="11" fillId="0" borderId="0" xfId="2" applyFont="1"/>
    <xf numFmtId="0" fontId="13" fillId="0" borderId="0" xfId="2" applyFont="1"/>
    <xf numFmtId="0" fontId="14" fillId="0" borderId="0" xfId="2" applyFont="1"/>
    <xf numFmtId="0" fontId="15" fillId="0" borderId="0" xfId="2" applyFont="1"/>
    <xf numFmtId="49" fontId="13" fillId="0" borderId="0" xfId="3" applyNumberFormat="1" applyFont="1" applyAlignment="1">
      <alignment horizontal="left" vertical="top"/>
    </xf>
    <xf numFmtId="165" fontId="11" fillId="0" borderId="0" xfId="3" applyNumberFormat="1" applyFont="1" applyAlignment="1">
      <alignment vertical="top"/>
    </xf>
    <xf numFmtId="0" fontId="11" fillId="0" borderId="0" xfId="3" applyFont="1" applyAlignment="1">
      <alignment horizontal="left" vertical="top" wrapText="1"/>
    </xf>
    <xf numFmtId="0" fontId="11" fillId="0" borderId="0" xfId="3" applyFont="1" applyAlignment="1">
      <alignment vertical="top"/>
    </xf>
    <xf numFmtId="0" fontId="11" fillId="0" borderId="0" xfId="3" applyFont="1"/>
    <xf numFmtId="165" fontId="11" fillId="0" borderId="0" xfId="3" applyNumberFormat="1" applyFont="1"/>
    <xf numFmtId="0" fontId="11" fillId="0" borderId="0" xfId="3" applyFont="1" applyAlignment="1">
      <alignment wrapText="1"/>
    </xf>
    <xf numFmtId="49" fontId="15" fillId="4" borderId="4" xfId="3" applyNumberFormat="1" applyFont="1" applyFill="1" applyBorder="1" applyAlignment="1">
      <alignment horizontal="left" vertical="top"/>
    </xf>
    <xf numFmtId="165" fontId="15" fillId="4" borderId="5" xfId="3" applyNumberFormat="1" applyFont="1" applyFill="1" applyBorder="1" applyAlignment="1">
      <alignment horizontal="left" vertical="top"/>
    </xf>
    <xf numFmtId="0" fontId="2" fillId="0" borderId="0" xfId="3"/>
    <xf numFmtId="0" fontId="2" fillId="0" borderId="0" xfId="3" applyAlignment="1">
      <alignment horizontal="center"/>
    </xf>
    <xf numFmtId="0" fontId="2" fillId="0" borderId="0" xfId="3" applyAlignment="1">
      <alignment horizontal="left"/>
    </xf>
    <xf numFmtId="0" fontId="8" fillId="0" borderId="0" xfId="3" applyFont="1" applyAlignment="1">
      <alignment wrapText="1"/>
    </xf>
    <xf numFmtId="0" fontId="8" fillId="0" borderId="0" xfId="3" applyFont="1" applyAlignment="1">
      <alignment horizontal="center" vertical="center"/>
    </xf>
    <xf numFmtId="0" fontId="8" fillId="0" borderId="0" xfId="3" applyFont="1" applyAlignment="1">
      <alignment vertical="center" wrapText="1"/>
    </xf>
    <xf numFmtId="0" fontId="8" fillId="0" borderId="0" xfId="3" applyFont="1" applyAlignment="1">
      <alignment horizontal="left" vertical="center"/>
    </xf>
    <xf numFmtId="0" fontId="4" fillId="0" borderId="0" xfId="3" applyFont="1" applyAlignment="1">
      <alignment horizontal="center"/>
    </xf>
    <xf numFmtId="0" fontId="2" fillId="0" borderId="0" xfId="3" applyAlignment="1">
      <alignment horizontal="left" wrapText="1"/>
    </xf>
    <xf numFmtId="0" fontId="15" fillId="4" borderId="7" xfId="3" applyFont="1" applyFill="1" applyBorder="1" applyAlignment="1">
      <alignment horizontal="left" vertical="top" wrapText="1"/>
    </xf>
    <xf numFmtId="0" fontId="8" fillId="0" borderId="0" xfId="3" applyFont="1" applyAlignment="1">
      <alignment horizontal="center" wrapText="1"/>
    </xf>
    <xf numFmtId="0" fontId="16" fillId="0" borderId="0" xfId="4"/>
    <xf numFmtId="0" fontId="6" fillId="0" borderId="0" xfId="4" applyFont="1" applyAlignment="1">
      <alignment horizontal="left"/>
    </xf>
    <xf numFmtId="0" fontId="2" fillId="0" borderId="0" xfId="4" applyFont="1" applyAlignment="1">
      <alignment horizontal="left"/>
    </xf>
    <xf numFmtId="0" fontId="16" fillId="0" borderId="0" xfId="4" applyAlignment="1">
      <alignment horizontal="left"/>
    </xf>
    <xf numFmtId="0" fontId="15" fillId="6" borderId="6" xfId="4" applyFont="1" applyFill="1" applyBorder="1" applyAlignment="1">
      <alignment horizontal="left" vertical="center" wrapText="1"/>
    </xf>
    <xf numFmtId="0" fontId="16" fillId="0" borderId="0" xfId="4" applyAlignment="1">
      <alignment wrapText="1"/>
    </xf>
    <xf numFmtId="0" fontId="5" fillId="7" borderId="12" xfId="4" applyFont="1" applyFill="1" applyBorder="1" applyAlignment="1">
      <alignment horizontal="left" vertical="center"/>
    </xf>
    <xf numFmtId="0" fontId="2" fillId="7" borderId="12" xfId="4" applyFont="1" applyFill="1" applyBorder="1" applyAlignment="1">
      <alignment horizontal="left" vertical="center" wrapText="1"/>
    </xf>
    <xf numFmtId="0" fontId="2" fillId="7" borderId="12" xfId="4" applyFont="1" applyFill="1" applyBorder="1" applyAlignment="1">
      <alignment horizontal="left" vertical="center"/>
    </xf>
    <xf numFmtId="0" fontId="5" fillId="6" borderId="13" xfId="4" applyFont="1" applyFill="1" applyBorder="1" applyAlignment="1">
      <alignment horizontal="left" vertical="center"/>
    </xf>
    <xf numFmtId="0" fontId="2" fillId="6" borderId="13" xfId="4" applyFont="1" applyFill="1" applyBorder="1" applyAlignment="1">
      <alignment horizontal="left" vertical="center" wrapText="1"/>
    </xf>
    <xf numFmtId="0" fontId="2" fillId="6" borderId="13" xfId="4" applyFont="1" applyFill="1" applyBorder="1" applyAlignment="1">
      <alignment horizontal="left" vertical="center"/>
    </xf>
    <xf numFmtId="0" fontId="17" fillId="7" borderId="12" xfId="4" applyFont="1" applyFill="1" applyBorder="1" applyAlignment="1">
      <alignment horizontal="center" vertical="center" wrapText="1"/>
    </xf>
    <xf numFmtId="0" fontId="2" fillId="0" borderId="0" xfId="4" applyFont="1" applyAlignment="1">
      <alignment horizontal="center"/>
    </xf>
    <xf numFmtId="0" fontId="15" fillId="6" borderId="6" xfId="4" applyFont="1" applyFill="1" applyBorder="1" applyAlignment="1">
      <alignment horizontal="center" vertical="center" wrapText="1"/>
    </xf>
    <xf numFmtId="0" fontId="17" fillId="6" borderId="13" xfId="4" applyFont="1" applyFill="1" applyBorder="1" applyAlignment="1">
      <alignment horizontal="center" vertical="center" wrapText="1"/>
    </xf>
    <xf numFmtId="0" fontId="7" fillId="6" borderId="13" xfId="1" applyFill="1" applyBorder="1" applyAlignment="1">
      <alignment horizontal="center" vertical="center" wrapText="1"/>
    </xf>
    <xf numFmtId="0" fontId="16" fillId="0" borderId="0" xfId="4" applyAlignment="1">
      <alignment horizontal="center"/>
    </xf>
    <xf numFmtId="0" fontId="7" fillId="8" borderId="13" xfId="1" applyFill="1" applyBorder="1" applyAlignment="1">
      <alignment horizontal="center" vertical="center" wrapText="1"/>
    </xf>
    <xf numFmtId="164" fontId="6" fillId="0" borderId="0" xfId="2" applyNumberFormat="1" applyFont="1" applyAlignment="1">
      <alignment horizontal="left"/>
    </xf>
    <xf numFmtId="0" fontId="11" fillId="0" borderId="0" xfId="2" applyFont="1" applyAlignment="1">
      <alignment horizontal="left" wrapText="1"/>
    </xf>
    <xf numFmtId="0" fontId="4" fillId="0" borderId="14" xfId="0" applyFont="1" applyBorder="1"/>
    <xf numFmtId="0" fontId="8" fillId="0" borderId="15"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7" fillId="9" borderId="16" xfId="1" applyFill="1" applyBorder="1" applyAlignment="1" applyProtection="1"/>
    <xf numFmtId="0" fontId="0" fillId="0" borderId="20" xfId="0" applyBorder="1"/>
    <xf numFmtId="0" fontId="0" fillId="10" borderId="24" xfId="0" applyFill="1" applyBorder="1"/>
    <xf numFmtId="0" fontId="18" fillId="0" borderId="0" xfId="0" applyFont="1" applyAlignment="1">
      <alignment vertical="center"/>
    </xf>
    <xf numFmtId="0" fontId="5" fillId="6" borderId="13" xfId="4" applyFont="1" applyFill="1" applyBorder="1" applyAlignment="1">
      <alignment horizontal="center" vertical="center"/>
    </xf>
    <xf numFmtId="49" fontId="11" fillId="0" borderId="6" xfId="3" applyNumberFormat="1" applyFont="1" applyBorder="1" applyAlignment="1">
      <alignment horizontal="left"/>
    </xf>
    <xf numFmtId="165" fontId="11" fillId="0" borderId="6" xfId="3" applyNumberFormat="1" applyFont="1" applyBorder="1" applyAlignment="1">
      <alignment horizontal="left"/>
    </xf>
    <xf numFmtId="0" fontId="11" fillId="0" borderId="8" xfId="3" applyFont="1" applyBorder="1" applyAlignment="1">
      <alignment horizontal="left" wrapText="1"/>
    </xf>
    <xf numFmtId="0" fontId="11" fillId="0" borderId="6" xfId="3" applyFont="1" applyBorder="1" applyAlignment="1">
      <alignment horizontal="left"/>
    </xf>
    <xf numFmtId="0" fontId="8" fillId="0" borderId="6" xfId="3" applyFont="1" applyBorder="1" applyAlignment="1">
      <alignment horizontal="left"/>
    </xf>
    <xf numFmtId="165" fontId="8" fillId="0" borderId="6" xfId="3" applyNumberFormat="1" applyFont="1" applyBorder="1" applyAlignment="1">
      <alignment horizontal="left"/>
    </xf>
    <xf numFmtId="0" fontId="8" fillId="0" borderId="8" xfId="3" applyFont="1" applyBorder="1" applyAlignment="1">
      <alignment horizontal="left" wrapText="1"/>
    </xf>
    <xf numFmtId="0" fontId="8" fillId="0" borderId="28" xfId="3" applyFont="1" applyBorder="1" applyAlignment="1">
      <alignment horizontal="left"/>
    </xf>
    <xf numFmtId="165" fontId="8" fillId="0" borderId="28" xfId="3" applyNumberFormat="1" applyFont="1" applyBorder="1" applyAlignment="1">
      <alignment horizontal="left"/>
    </xf>
    <xf numFmtId="0" fontId="8" fillId="0" borderId="29" xfId="3" applyFont="1" applyBorder="1" applyAlignment="1">
      <alignment horizontal="left" wrapText="1"/>
    </xf>
    <xf numFmtId="0" fontId="1" fillId="3" borderId="6" xfId="0" applyFont="1" applyFill="1" applyBorder="1" applyAlignment="1">
      <alignment horizontal="left" vertical="center" wrapText="1"/>
    </xf>
    <xf numFmtId="0" fontId="1" fillId="3" borderId="6" xfId="0" applyFont="1" applyFill="1" applyBorder="1" applyAlignment="1">
      <alignment horizontal="left" vertical="center" wrapText="1" indent="1"/>
    </xf>
    <xf numFmtId="0" fontId="1" fillId="2" borderId="6" xfId="0" applyFont="1" applyFill="1" applyBorder="1" applyAlignment="1">
      <alignment horizontal="left" vertical="center" wrapText="1"/>
    </xf>
    <xf numFmtId="0" fontId="1" fillId="2" borderId="6" xfId="0" applyFont="1" applyFill="1" applyBorder="1" applyAlignment="1">
      <alignment horizontal="left" vertical="center" wrapText="1" indent="1"/>
    </xf>
    <xf numFmtId="0" fontId="8" fillId="3" borderId="6" xfId="0" applyFont="1" applyFill="1" applyBorder="1" applyAlignment="1">
      <alignment horizontal="left" vertical="center" wrapText="1" indent="1"/>
    </xf>
    <xf numFmtId="0" fontId="8" fillId="2" borderId="6" xfId="0" applyFont="1" applyFill="1" applyBorder="1" applyAlignment="1">
      <alignment horizontal="left" vertical="center" wrapText="1" indent="1"/>
    </xf>
    <xf numFmtId="0" fontId="8" fillId="0" borderId="6" xfId="0" applyFont="1" applyBorder="1" applyAlignment="1">
      <alignment horizontal="left" vertical="center" wrapText="1" indent="1"/>
    </xf>
    <xf numFmtId="0" fontId="5" fillId="3" borderId="6" xfId="0" applyFont="1" applyFill="1" applyBorder="1" applyAlignment="1">
      <alignment horizontal="left" vertical="center"/>
    </xf>
    <xf numFmtId="0" fontId="1" fillId="3" borderId="6" xfId="0" applyFont="1" applyFill="1" applyBorder="1" applyAlignment="1">
      <alignment horizontal="left" vertical="center"/>
    </xf>
    <xf numFmtId="0" fontId="5" fillId="2" borderId="6" xfId="0" applyFont="1" applyFill="1" applyBorder="1" applyAlignment="1">
      <alignment horizontal="left" vertical="center"/>
    </xf>
    <xf numFmtId="0" fontId="1" fillId="2" borderId="6" xfId="0" applyFont="1" applyFill="1" applyBorder="1" applyAlignment="1">
      <alignment horizontal="left" vertical="center"/>
    </xf>
    <xf numFmtId="0" fontId="7" fillId="3" borderId="6" xfId="1" applyFill="1" applyBorder="1" applyAlignment="1">
      <alignment horizontal="left" vertical="center" wrapText="1"/>
    </xf>
    <xf numFmtId="0" fontId="9" fillId="3" borderId="6" xfId="0" applyFont="1" applyFill="1" applyBorder="1" applyAlignment="1">
      <alignment horizontal="left" vertical="center" wrapText="1"/>
    </xf>
    <xf numFmtId="0" fontId="10" fillId="3" borderId="6"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7" fillId="2" borderId="6" xfId="1" applyFill="1" applyBorder="1" applyAlignment="1">
      <alignment horizontal="left" vertical="center" wrapText="1"/>
    </xf>
    <xf numFmtId="0" fontId="10" fillId="3" borderId="6" xfId="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2" borderId="6" xfId="0" applyFont="1" applyFill="1" applyBorder="1" applyAlignment="1">
      <alignment horizontal="left" vertical="center"/>
    </xf>
    <xf numFmtId="0" fontId="7" fillId="2" borderId="6" xfId="1" applyFill="1" applyBorder="1" applyAlignment="1">
      <alignment horizontal="left" vertical="center"/>
    </xf>
    <xf numFmtId="0" fontId="1" fillId="2" borderId="6" xfId="3" applyFont="1" applyFill="1" applyBorder="1" applyAlignment="1">
      <alignment horizontal="center" vertical="center"/>
    </xf>
    <xf numFmtId="0" fontId="1" fillId="3" borderId="6" xfId="3" applyFont="1" applyFill="1" applyBorder="1" applyAlignment="1">
      <alignment horizontal="center" vertical="center"/>
    </xf>
    <xf numFmtId="0" fontId="7" fillId="0" borderId="6" xfId="1" applyFill="1" applyBorder="1" applyAlignment="1">
      <alignment horizontal="center" vertical="center" wrapText="1"/>
    </xf>
    <xf numFmtId="0" fontId="7" fillId="5" borderId="6" xfId="1" applyFill="1" applyBorder="1" applyAlignment="1">
      <alignment horizontal="center" vertical="center" wrapText="1"/>
    </xf>
    <xf numFmtId="0" fontId="4" fillId="3" borderId="6" xfId="3" applyFont="1" applyFill="1" applyBorder="1" applyAlignment="1">
      <alignment horizontal="left" vertical="center"/>
    </xf>
    <xf numFmtId="0" fontId="4" fillId="3" borderId="6" xfId="3" applyFont="1" applyFill="1" applyBorder="1" applyAlignment="1">
      <alignment horizontal="left" vertical="center" wrapText="1"/>
    </xf>
    <xf numFmtId="0" fontId="4" fillId="3" borderId="6" xfId="3"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6" xfId="3" applyFont="1" applyFill="1" applyBorder="1" applyAlignment="1">
      <alignment horizontal="center" vertical="center"/>
    </xf>
    <xf numFmtId="0" fontId="4" fillId="3" borderId="6" xfId="0" applyFont="1" applyFill="1" applyBorder="1" applyAlignment="1">
      <alignment horizontal="center" vertical="center"/>
    </xf>
    <xf numFmtId="0" fontId="4" fillId="3" borderId="6" xfId="0" applyFont="1" applyFill="1" applyBorder="1" applyAlignment="1">
      <alignment vertical="center" wrapText="1"/>
    </xf>
    <xf numFmtId="0" fontId="4" fillId="3" borderId="6" xfId="0" applyFont="1" applyFill="1" applyBorder="1" applyAlignment="1">
      <alignment horizontal="left" vertical="center" indent="1"/>
    </xf>
    <xf numFmtId="0" fontId="1" fillId="11" borderId="6" xfId="3" applyFont="1" applyFill="1" applyBorder="1" applyAlignment="1">
      <alignment horizontal="left" vertical="center" wrapText="1"/>
    </xf>
    <xf numFmtId="0" fontId="7" fillId="11" borderId="6" xfId="1" applyFill="1" applyBorder="1" applyAlignment="1">
      <alignment horizontal="left" vertical="center"/>
    </xf>
    <xf numFmtId="0" fontId="1" fillId="11" borderId="6" xfId="3" applyFont="1" applyFill="1" applyBorder="1" applyAlignment="1">
      <alignment horizontal="center" vertical="center"/>
    </xf>
    <xf numFmtId="0" fontId="1" fillId="11" borderId="6" xfId="3" applyFont="1" applyFill="1" applyBorder="1" applyAlignment="1">
      <alignment horizontal="center" vertical="center" wrapText="1"/>
    </xf>
    <xf numFmtId="0" fontId="1" fillId="5" borderId="6" xfId="3" applyFont="1" applyFill="1" applyBorder="1" applyAlignment="1">
      <alignment horizontal="left" vertical="center" wrapText="1"/>
    </xf>
    <xf numFmtId="0" fontId="7" fillId="0" borderId="6" xfId="1" applyFill="1" applyBorder="1" applyAlignment="1">
      <alignment horizontal="left" vertical="center"/>
    </xf>
    <xf numFmtId="0" fontId="1" fillId="0" borderId="6" xfId="3" applyFont="1" applyBorder="1" applyAlignment="1">
      <alignment horizontal="left" vertical="center" wrapText="1"/>
    </xf>
    <xf numFmtId="0" fontId="1" fillId="0" borderId="6" xfId="3" applyFont="1" applyBorder="1" applyAlignment="1">
      <alignment horizontal="center" vertical="center"/>
    </xf>
    <xf numFmtId="0" fontId="1" fillId="0" borderId="6" xfId="3" applyFont="1" applyBorder="1" applyAlignment="1">
      <alignment horizontal="center" vertical="center" wrapText="1"/>
    </xf>
    <xf numFmtId="0" fontId="8" fillId="7" borderId="12" xfId="4" applyFont="1" applyFill="1" applyBorder="1" applyAlignment="1">
      <alignment horizontal="left" vertical="center" wrapText="1"/>
    </xf>
    <xf numFmtId="0" fontId="8" fillId="6" borderId="13" xfId="4" applyFont="1" applyFill="1" applyBorder="1" applyAlignment="1">
      <alignment horizontal="left" vertical="center" wrapText="1"/>
    </xf>
    <xf numFmtId="0" fontId="8" fillId="0" borderId="30" xfId="3" applyFont="1" applyBorder="1" applyAlignment="1">
      <alignment horizontal="left"/>
    </xf>
    <xf numFmtId="0" fontId="11" fillId="0" borderId="0" xfId="5" applyFont="1" applyAlignment="1">
      <alignment vertical="top"/>
    </xf>
    <xf numFmtId="0" fontId="15" fillId="0" borderId="0" xfId="5" applyFont="1" applyAlignment="1">
      <alignment vertical="top"/>
    </xf>
    <xf numFmtId="0" fontId="2" fillId="0" borderId="0" xfId="5" applyFont="1" applyAlignment="1">
      <alignment horizontal="center" vertical="top"/>
    </xf>
    <xf numFmtId="0" fontId="2" fillId="0" borderId="0" xfId="5" applyFont="1" applyAlignment="1">
      <alignment horizontal="left" vertical="top"/>
    </xf>
    <xf numFmtId="0" fontId="11" fillId="0" borderId="0" xfId="5" applyFont="1" applyAlignment="1">
      <alignment horizontal="center" vertical="top"/>
    </xf>
    <xf numFmtId="0" fontId="11" fillId="0" borderId="0" xfId="5" applyFont="1" applyAlignment="1">
      <alignment horizontal="left" vertical="top"/>
    </xf>
    <xf numFmtId="0" fontId="3" fillId="6" borderId="13" xfId="5" applyFont="1" applyFill="1" applyBorder="1" applyAlignment="1">
      <alignment horizontal="left" vertical="center" wrapText="1"/>
    </xf>
    <xf numFmtId="0" fontId="5" fillId="7" borderId="12" xfId="6" applyFont="1" applyFill="1" applyBorder="1" applyAlignment="1">
      <alignment horizontal="left" vertical="center" wrapText="1"/>
    </xf>
    <xf numFmtId="0" fontId="2" fillId="7" borderId="12" xfId="5" applyFont="1" applyFill="1" applyBorder="1" applyAlignment="1">
      <alignment horizontal="left" vertical="center" wrapText="1"/>
    </xf>
    <xf numFmtId="0" fontId="5" fillId="6" borderId="13" xfId="6" applyFont="1" applyFill="1" applyBorder="1" applyAlignment="1">
      <alignment horizontal="left" vertical="center" wrapText="1"/>
    </xf>
    <xf numFmtId="0" fontId="2" fillId="6" borderId="13" xfId="5" applyFont="1" applyFill="1" applyBorder="1" applyAlignment="1">
      <alignment horizontal="left" vertical="center" wrapText="1"/>
    </xf>
    <xf numFmtId="0" fontId="21" fillId="7" borderId="12" xfId="5" applyFont="1" applyFill="1" applyBorder="1" applyAlignment="1">
      <alignment horizontal="left" vertical="center" wrapText="1"/>
    </xf>
    <xf numFmtId="0" fontId="21" fillId="6" borderId="13" xfId="5" applyFont="1" applyFill="1" applyBorder="1" applyAlignment="1">
      <alignment horizontal="left" vertical="center" wrapText="1"/>
    </xf>
    <xf numFmtId="0" fontId="11" fillId="0" borderId="0" xfId="5" applyFont="1" applyAlignment="1">
      <alignment horizontal="center" vertical="center"/>
    </xf>
    <xf numFmtId="0" fontId="2" fillId="0" borderId="0" xfId="5" applyFont="1" applyAlignment="1">
      <alignment horizontal="left" vertical="center"/>
    </xf>
    <xf numFmtId="0" fontId="2" fillId="0" borderId="0" xfId="5" applyFont="1" applyAlignment="1">
      <alignment horizontal="center" vertical="center"/>
    </xf>
    <xf numFmtId="0" fontId="2" fillId="7" borderId="12" xfId="5" applyFont="1" applyFill="1" applyBorder="1" applyAlignment="1">
      <alignment vertical="center" wrapText="1"/>
    </xf>
    <xf numFmtId="0" fontId="2" fillId="6" borderId="13" xfId="5" applyFont="1" applyFill="1" applyBorder="1" applyAlignment="1">
      <alignment vertical="center" wrapText="1"/>
    </xf>
    <xf numFmtId="0" fontId="5" fillId="6" borderId="13" xfId="5" applyFont="1" applyFill="1" applyBorder="1" applyAlignment="1">
      <alignment horizontal="left" vertical="center" wrapText="1"/>
    </xf>
    <xf numFmtId="0" fontId="5" fillId="7" borderId="12" xfId="5" applyFont="1" applyFill="1" applyBorder="1" applyAlignment="1">
      <alignment horizontal="left" vertical="center" wrapText="1"/>
    </xf>
    <xf numFmtId="0" fontId="6" fillId="0" borderId="33" xfId="2" applyFont="1" applyBorder="1"/>
    <xf numFmtId="165" fontId="6" fillId="0" borderId="34" xfId="0" applyNumberFormat="1" applyFont="1" applyBorder="1" applyAlignment="1">
      <alignment horizontal="left"/>
    </xf>
    <xf numFmtId="0" fontId="6" fillId="0" borderId="35" xfId="2" applyFont="1" applyBorder="1" applyAlignment="1">
      <alignment wrapText="1"/>
    </xf>
    <xf numFmtId="0" fontId="8" fillId="0" borderId="20" xfId="2" applyBorder="1"/>
    <xf numFmtId="165" fontId="8" fillId="0" borderId="6" xfId="0" applyNumberFormat="1" applyFont="1" applyBorder="1" applyAlignment="1">
      <alignment horizontal="left"/>
    </xf>
    <xf numFmtId="0" fontId="8" fillId="0" borderId="8" xfId="2" applyBorder="1" applyAlignment="1">
      <alignment wrapText="1"/>
    </xf>
    <xf numFmtId="0" fontId="19" fillId="0" borderId="0" xfId="5"/>
    <xf numFmtId="0" fontId="19" fillId="0" borderId="0" xfId="5" applyAlignment="1">
      <alignment wrapText="1"/>
    </xf>
    <xf numFmtId="0" fontId="2" fillId="0" borderId="0" xfId="5" applyFont="1"/>
    <xf numFmtId="0" fontId="5" fillId="0" borderId="6" xfId="6" applyFont="1" applyBorder="1"/>
    <xf numFmtId="0" fontId="11" fillId="0" borderId="6" xfId="5" applyFont="1" applyBorder="1"/>
    <xf numFmtId="0" fontId="11" fillId="0" borderId="6" xfId="5" applyFont="1" applyBorder="1" applyAlignment="1">
      <alignment wrapText="1"/>
    </xf>
    <xf numFmtId="0" fontId="11" fillId="0" borderId="28" xfId="5" applyFont="1" applyBorder="1" applyAlignment="1">
      <alignment wrapText="1"/>
    </xf>
    <xf numFmtId="0" fontId="11" fillId="12" borderId="6" xfId="5" applyFont="1" applyFill="1" applyBorder="1" applyAlignment="1">
      <alignment wrapText="1"/>
    </xf>
    <xf numFmtId="0" fontId="11" fillId="0" borderId="0" xfId="2" applyFont="1" applyAlignment="1">
      <alignment horizontal="left" wrapText="1"/>
    </xf>
    <xf numFmtId="0" fontId="8" fillId="0" borderId="17" xfId="0" applyFont="1" applyBorder="1" applyAlignment="1">
      <alignment horizontal="left" vertic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0" fontId="8" fillId="0" borderId="21" xfId="0" applyFont="1" applyBorder="1" applyAlignment="1">
      <alignment horizontal="left" vertical="center"/>
    </xf>
    <xf numFmtId="0" fontId="8" fillId="0" borderId="22" xfId="0" applyFont="1" applyBorder="1" applyAlignment="1">
      <alignment horizontal="left" vertical="center"/>
    </xf>
    <xf numFmtId="0" fontId="8" fillId="0" borderId="23" xfId="0" applyFont="1" applyBorder="1" applyAlignment="1">
      <alignment horizontal="left" vertical="center"/>
    </xf>
    <xf numFmtId="0" fontId="8" fillId="0" borderId="25" xfId="0" applyFont="1" applyBorder="1" applyAlignment="1">
      <alignment horizontal="left" vertical="center" wrapText="1"/>
    </xf>
    <xf numFmtId="0" fontId="8" fillId="0" borderId="26" xfId="0" applyFont="1" applyBorder="1" applyAlignment="1">
      <alignment horizontal="left" vertical="center" wrapText="1"/>
    </xf>
    <xf numFmtId="0" fontId="8" fillId="0" borderId="27" xfId="0" applyFont="1" applyBorder="1" applyAlignment="1">
      <alignment horizontal="left" vertical="center" wrapText="1"/>
    </xf>
    <xf numFmtId="0" fontId="2" fillId="0" borderId="37" xfId="5" applyFont="1" applyBorder="1" applyAlignment="1">
      <alignment horizontal="left" wrapText="1"/>
    </xf>
    <xf numFmtId="0" fontId="2" fillId="0" borderId="36" xfId="5" applyFont="1" applyBorder="1" applyAlignment="1">
      <alignment horizontal="left" wrapText="1"/>
    </xf>
    <xf numFmtId="0" fontId="2" fillId="0" borderId="31" xfId="5" applyFont="1" applyBorder="1" applyAlignment="1">
      <alignment horizontal="left" wrapText="1"/>
    </xf>
    <xf numFmtId="0" fontId="2" fillId="0" borderId="32" xfId="5" applyFont="1" applyBorder="1" applyAlignment="1">
      <alignment horizontal="left" wrapText="1"/>
    </xf>
    <xf numFmtId="0" fontId="2" fillId="0" borderId="9" xfId="4" applyFont="1" applyBorder="1" applyAlignment="1">
      <alignment horizontal="left" wrapText="1"/>
    </xf>
    <xf numFmtId="0" fontId="8" fillId="0" borderId="10" xfId="4" applyFont="1" applyBorder="1"/>
    <xf numFmtId="0" fontId="8" fillId="0" borderId="11" xfId="4" applyFont="1" applyBorder="1"/>
    <xf numFmtId="0" fontId="1" fillId="2" borderId="6" xfId="0" applyFont="1" applyFill="1" applyBorder="1" applyAlignment="1">
      <alignment horizontal="left" vertical="center" wrapText="1"/>
    </xf>
    <xf numFmtId="0" fontId="0" fillId="0" borderId="6" xfId="0" applyBorder="1" applyAlignment="1">
      <alignment horizontal="left" vertical="center" wrapText="1"/>
    </xf>
    <xf numFmtId="0" fontId="1" fillId="2" borderId="6" xfId="0" applyFont="1" applyFill="1" applyBorder="1" applyAlignment="1">
      <alignment horizontal="left" vertical="center"/>
    </xf>
    <xf numFmtId="0" fontId="0" fillId="0" borderId="6" xfId="0" applyBorder="1" applyAlignment="1">
      <alignment horizontal="left" vertical="center"/>
    </xf>
    <xf numFmtId="0" fontId="5" fillId="2" borderId="6" xfId="0" applyFont="1" applyFill="1" applyBorder="1" applyAlignment="1">
      <alignment horizontal="left" vertical="center"/>
    </xf>
    <xf numFmtId="0" fontId="8" fillId="3" borderId="6" xfId="0" applyFont="1" applyFill="1" applyBorder="1" applyAlignment="1">
      <alignment horizontal="left" vertical="center" wrapText="1" indent="1"/>
    </xf>
    <xf numFmtId="0" fontId="8" fillId="0" borderId="6" xfId="0" applyFont="1" applyBorder="1" applyAlignment="1">
      <alignment horizontal="left" vertical="center" wrapText="1" indent="1"/>
    </xf>
    <xf numFmtId="0" fontId="1" fillId="3" borderId="6" xfId="0" applyFont="1" applyFill="1" applyBorder="1" applyAlignment="1">
      <alignment horizontal="left" vertical="center" wrapText="1"/>
    </xf>
    <xf numFmtId="0" fontId="1" fillId="3" borderId="6" xfId="0" applyFont="1" applyFill="1" applyBorder="1" applyAlignment="1">
      <alignment horizontal="left" vertical="center"/>
    </xf>
    <xf numFmtId="0" fontId="5" fillId="3" borderId="6" xfId="0" applyFont="1" applyFill="1" applyBorder="1" applyAlignment="1">
      <alignment horizontal="left" vertical="center"/>
    </xf>
    <xf numFmtId="0" fontId="8" fillId="2" borderId="6" xfId="0" applyFont="1" applyFill="1" applyBorder="1" applyAlignment="1">
      <alignment horizontal="left" vertical="center" wrapText="1" inden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1" xfId="3" applyBorder="1" applyAlignment="1">
      <alignment horizontal="left" wrapText="1"/>
    </xf>
    <xf numFmtId="0" fontId="2" fillId="0" borderId="2" xfId="3" applyBorder="1" applyAlignment="1">
      <alignment horizontal="left" wrapText="1"/>
    </xf>
    <xf numFmtId="0" fontId="2" fillId="0" borderId="3" xfId="3" applyBorder="1" applyAlignment="1">
      <alignment horizontal="left" wrapText="1"/>
    </xf>
  </cellXfs>
  <cellStyles count="7">
    <cellStyle name="Hyperlink" xfId="1" builtinId="8"/>
    <cellStyle name="Hyperlink 2" xfId="6" xr:uid="{A558998F-E86D-4786-B15D-F5570BDE15C8}"/>
    <cellStyle name="Normal" xfId="0" builtinId="0"/>
    <cellStyle name="Normal 2" xfId="2" xr:uid="{00000000-0005-0000-0000-000002000000}"/>
    <cellStyle name="Normal 3" xfId="3" xr:uid="{00000000-0005-0000-0000-000003000000}"/>
    <cellStyle name="Normal 4" xfId="4" xr:uid="{00000000-0005-0000-0000-000004000000}"/>
    <cellStyle name="Normal 5" xfId="5" xr:uid="{B51D82E8-E630-48A3-8F80-5C2DFA6A6465}"/>
  </cellStyles>
  <dxfs count="66">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ill>
        <patternFill patternType="solid">
          <fgColor rgb="FFFFE598"/>
          <bgColor rgb="FFFFE598"/>
        </patternFill>
      </fill>
    </dxf>
    <dxf>
      <font>
        <strike val="0"/>
        <outline val="0"/>
        <shadow val="0"/>
        <vertAlign val="baseline"/>
        <sz val="10"/>
        <name val="Arial"/>
        <family val="2"/>
        <scheme val="none"/>
      </font>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Arial"/>
        <family val="2"/>
        <scheme val="none"/>
      </font>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Arial"/>
        <family val="2"/>
        <scheme val="none"/>
      </font>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Arial"/>
        <family val="2"/>
        <scheme val="none"/>
      </font>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Arial"/>
        <family val="2"/>
        <scheme val="none"/>
      </font>
      <alignmen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Arial"/>
        <family val="2"/>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Arial"/>
        <family val="2"/>
        <scheme val="none"/>
      </font>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Arial"/>
        <family val="2"/>
        <scheme val="none"/>
      </font>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Arial"/>
        <family val="2"/>
        <scheme val="none"/>
      </font>
    </dxf>
  </dxfs>
  <tableStyles count="0" defaultTableStyle="TableStyleMedium2" defaultPivotStyle="PivotStyleLight16"/>
  <colors>
    <mruColors>
      <color rgb="FFB1A0C7"/>
      <color rgb="FFFFFFFF"/>
      <color rgb="FFC0C0C0"/>
      <color rgb="FFCCFFCC"/>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5442FB8-97CA-4536-AAD5-D0AE6B619C37}" name="Table2" displayName="Table2" ref="A3:H112" totalsRowShown="0" dataDxfId="65">
  <autoFilter ref="A3:H112" xr:uid="{C76C319D-BC8C-CE42-9E1F-BB85F82154FD}"/>
  <sortState xmlns:xlrd2="http://schemas.microsoft.com/office/spreadsheetml/2017/richdata2" ref="A4:H112">
    <sortCondition ref="B4:B112"/>
    <sortCondition ref="E4:E112"/>
    <sortCondition ref="A4:A112"/>
  </sortState>
  <tableColumns count="8">
    <tableColumn id="1" xr3:uid="{E0F03054-565E-0C49-ADA7-83988DDF60B9}" name="Erratum ID" dataDxfId="64" dataCellStyle="Hyperlink"/>
    <tableColumn id="2" xr3:uid="{2DA9551C-93ED-B84A-8757-73BB7B48812E}" name="Part" dataDxfId="63"/>
    <tableColumn id="3" xr3:uid="{4A2622A9-FC80-174A-9AC7-B2713FB2EBB1}" name="Subject" dataDxfId="62"/>
    <tableColumn id="4" xr3:uid="{601FBF4C-76C6-0644-9263-4FC981457E68}" name="Test Impact" dataDxfId="61"/>
    <tableColumn id="5" xr3:uid="{B894BB95-D47F-CC41-B6C1-37DB8BCC73C8}" name="Change Type" dataDxfId="60"/>
    <tableColumn id="6" xr3:uid="{BB64DEBB-4354-724F-8D2F-33B26F335065}" name="TSE Impact Rating" dataDxfId="59"/>
    <tableColumn id="7" xr3:uid="{7166E61E-D8A1-F94D-B5B2-0FF8F3A76167}" name="TSE" dataDxfId="58"/>
    <tableColumn id="8" xr3:uid="{6B32849E-E7E1-E043-A1A4-ADF8E753370A}" name="TSE Status" dataDxfId="57"/>
  </tableColumns>
  <tableStyleInfo name="TableStyleLight1"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17" Type="http://schemas.openxmlformats.org/officeDocument/2006/relationships/hyperlink" Target="https://bluetooth.atlassian.net/browse/ES-23548" TargetMode="External"/><Relationship Id="rId299" Type="http://schemas.openxmlformats.org/officeDocument/2006/relationships/hyperlink" Target="https://bluetooth.atlassian.net/browse/ES-22555" TargetMode="External"/><Relationship Id="rId21" Type="http://schemas.openxmlformats.org/officeDocument/2006/relationships/hyperlink" Target="https://bluetooth.atlassian.net/browse/ES-23559" TargetMode="External"/><Relationship Id="rId63" Type="http://schemas.openxmlformats.org/officeDocument/2006/relationships/hyperlink" Target="https://bluetooth.atlassian.net/browse/ES-18350" TargetMode="External"/><Relationship Id="rId159" Type="http://schemas.openxmlformats.org/officeDocument/2006/relationships/hyperlink" Target="https://bluetooth.atlassian.net/browse/ES-22138" TargetMode="External"/><Relationship Id="rId324" Type="http://schemas.openxmlformats.org/officeDocument/2006/relationships/hyperlink" Target="https://bluetooth.atlassian.net/browse/ES-17251" TargetMode="External"/><Relationship Id="rId170" Type="http://schemas.openxmlformats.org/officeDocument/2006/relationships/hyperlink" Target="https://bluetooth.atlassian.net/browse/ES-24312" TargetMode="External"/><Relationship Id="rId226" Type="http://schemas.openxmlformats.org/officeDocument/2006/relationships/hyperlink" Target="https://bluetooth.atlassian.net/browse/ES-23194" TargetMode="External"/><Relationship Id="rId268" Type="http://schemas.openxmlformats.org/officeDocument/2006/relationships/hyperlink" Target="https://bluetooth.atlassian.net/browse/ES-17438" TargetMode="External"/><Relationship Id="rId32" Type="http://schemas.openxmlformats.org/officeDocument/2006/relationships/hyperlink" Target="https://bluetooth.atlassian.net/browse/ES-23206" TargetMode="External"/><Relationship Id="rId74" Type="http://schemas.openxmlformats.org/officeDocument/2006/relationships/hyperlink" Target="https://bluetooth.atlassian.net/browse/ES-22478" TargetMode="External"/><Relationship Id="rId128" Type="http://schemas.openxmlformats.org/officeDocument/2006/relationships/hyperlink" Target="https://bluetooth.atlassian.net/browse/ES-22839" TargetMode="External"/><Relationship Id="rId335" Type="http://schemas.openxmlformats.org/officeDocument/2006/relationships/hyperlink" Target="https://bluetooth.atlassian.net/browse/ES-24202" TargetMode="External"/><Relationship Id="rId5" Type="http://schemas.openxmlformats.org/officeDocument/2006/relationships/hyperlink" Target="https://bluetooth.atlassian.net/browse/ES-24275" TargetMode="External"/><Relationship Id="rId181" Type="http://schemas.openxmlformats.org/officeDocument/2006/relationships/hyperlink" Target="https://bluetooth.atlassian.net/browse/ES-22396" TargetMode="External"/><Relationship Id="rId237" Type="http://schemas.openxmlformats.org/officeDocument/2006/relationships/hyperlink" Target="https://bluetooth.atlassian.net/browse/ES-22341" TargetMode="External"/><Relationship Id="rId279" Type="http://schemas.openxmlformats.org/officeDocument/2006/relationships/hyperlink" Target="https://bluetooth.atlassian.net/browse/ES-23192" TargetMode="External"/><Relationship Id="rId43" Type="http://schemas.openxmlformats.org/officeDocument/2006/relationships/hyperlink" Target="https://bluetooth.atlassian.net/browse/ES-24885" TargetMode="External"/><Relationship Id="rId139" Type="http://schemas.openxmlformats.org/officeDocument/2006/relationships/hyperlink" Target="https://bluetooth.atlassian.net/browse/ES-20613" TargetMode="External"/><Relationship Id="rId290" Type="http://schemas.openxmlformats.org/officeDocument/2006/relationships/hyperlink" Target="https://bluetooth.atlassian.net/browse/ES-23108" TargetMode="External"/><Relationship Id="rId304" Type="http://schemas.openxmlformats.org/officeDocument/2006/relationships/hyperlink" Target="https://bluetooth.atlassian.net/browse/ES-20644" TargetMode="External"/><Relationship Id="rId346" Type="http://schemas.openxmlformats.org/officeDocument/2006/relationships/hyperlink" Target="https://bluetooth.atlassian.net/browse/ES-22529" TargetMode="External"/><Relationship Id="rId85" Type="http://schemas.openxmlformats.org/officeDocument/2006/relationships/hyperlink" Target="https://bluetooth.atlassian.net/browse/ES-23469" TargetMode="External"/><Relationship Id="rId150" Type="http://schemas.openxmlformats.org/officeDocument/2006/relationships/hyperlink" Target="https://bluetooth.atlassian.net/browse/ES-22693" TargetMode="External"/><Relationship Id="rId192" Type="http://schemas.openxmlformats.org/officeDocument/2006/relationships/hyperlink" Target="https://bluetooth.atlassian.net/browse/ES-24265" TargetMode="External"/><Relationship Id="rId206" Type="http://schemas.openxmlformats.org/officeDocument/2006/relationships/hyperlink" Target="https://bluetooth.atlassian.net/browse/ES-23217" TargetMode="External"/><Relationship Id="rId248" Type="http://schemas.openxmlformats.org/officeDocument/2006/relationships/hyperlink" Target="https://bluetooth.atlassian.net/browse/ES-23070" TargetMode="External"/><Relationship Id="rId12" Type="http://schemas.openxmlformats.org/officeDocument/2006/relationships/hyperlink" Target="https://bluetooth.atlassian.net/browse/ES-24021" TargetMode="External"/><Relationship Id="rId108" Type="http://schemas.openxmlformats.org/officeDocument/2006/relationships/hyperlink" Target="https://bluetooth.atlassian.net/browse/ES-22960" TargetMode="External"/><Relationship Id="rId315" Type="http://schemas.openxmlformats.org/officeDocument/2006/relationships/hyperlink" Target="https://bluetooth.atlassian.net/browse/ES-25658" TargetMode="External"/><Relationship Id="rId54" Type="http://schemas.openxmlformats.org/officeDocument/2006/relationships/hyperlink" Target="https://bluetooth.atlassian.net/browse/ES-23209" TargetMode="External"/><Relationship Id="rId96" Type="http://schemas.openxmlformats.org/officeDocument/2006/relationships/hyperlink" Target="https://bluetooth.atlassian.net/browse/ES-22978" TargetMode="External"/><Relationship Id="rId161" Type="http://schemas.openxmlformats.org/officeDocument/2006/relationships/hyperlink" Target="https://bluetooth.atlassian.net/browse/ES-23190" TargetMode="External"/><Relationship Id="rId217" Type="http://schemas.openxmlformats.org/officeDocument/2006/relationships/hyperlink" Target="https://bluetooth.atlassian.net/browse/ES-22494" TargetMode="External"/><Relationship Id="rId259" Type="http://schemas.openxmlformats.org/officeDocument/2006/relationships/hyperlink" Target="https://bluetooth.atlassian.net/browse/ES-22539" TargetMode="External"/><Relationship Id="rId23" Type="http://schemas.openxmlformats.org/officeDocument/2006/relationships/hyperlink" Target="https://bluetooth.atlassian.net/browse/ES-24898" TargetMode="External"/><Relationship Id="rId119" Type="http://schemas.openxmlformats.org/officeDocument/2006/relationships/hyperlink" Target="https://bluetooth.atlassian.net/browse/ES-17736" TargetMode="External"/><Relationship Id="rId270" Type="http://schemas.openxmlformats.org/officeDocument/2006/relationships/hyperlink" Target="https://bluetooth.atlassian.net/browse/ES-24194" TargetMode="External"/><Relationship Id="rId326" Type="http://schemas.openxmlformats.org/officeDocument/2006/relationships/hyperlink" Target="https://bluetooth.atlassian.net/browse/ES-17162" TargetMode="External"/><Relationship Id="rId65" Type="http://schemas.openxmlformats.org/officeDocument/2006/relationships/hyperlink" Target="https://bluetooth.atlassian.net/browse/ES-24877" TargetMode="External"/><Relationship Id="rId130" Type="http://schemas.openxmlformats.org/officeDocument/2006/relationships/hyperlink" Target="https://bluetooth.atlassian.net/browse/ES-23054" TargetMode="External"/><Relationship Id="rId172" Type="http://schemas.openxmlformats.org/officeDocument/2006/relationships/hyperlink" Target="https://bluetooth.atlassian.net/browse/ES-24057" TargetMode="External"/><Relationship Id="rId228" Type="http://schemas.openxmlformats.org/officeDocument/2006/relationships/hyperlink" Target="https://bluetooth.atlassian.net/browse/ES-23157" TargetMode="External"/><Relationship Id="rId281" Type="http://schemas.openxmlformats.org/officeDocument/2006/relationships/hyperlink" Target="https://bluetooth.atlassian.net/browse/ES-22973" TargetMode="External"/><Relationship Id="rId337" Type="http://schemas.openxmlformats.org/officeDocument/2006/relationships/hyperlink" Target="https://bluetooth.atlassian.net/browse/ES-23635" TargetMode="External"/><Relationship Id="rId34" Type="http://schemas.openxmlformats.org/officeDocument/2006/relationships/hyperlink" Target="https://bluetooth.atlassian.net/browse/ES-23101" TargetMode="External"/><Relationship Id="rId76" Type="http://schemas.openxmlformats.org/officeDocument/2006/relationships/hyperlink" Target="https://bluetooth.atlassian.net/browse/ES-22390" TargetMode="External"/><Relationship Id="rId141" Type="http://schemas.openxmlformats.org/officeDocument/2006/relationships/hyperlink" Target="https://bluetooth.atlassian.net/browse/ES-22488" TargetMode="External"/><Relationship Id="rId7" Type="http://schemas.openxmlformats.org/officeDocument/2006/relationships/hyperlink" Target="https://bluetooth.atlassian.net/browse/ES-23981" TargetMode="External"/><Relationship Id="rId183" Type="http://schemas.openxmlformats.org/officeDocument/2006/relationships/hyperlink" Target="https://bluetooth.atlassian.net/browse/ES-24126" TargetMode="External"/><Relationship Id="rId239" Type="http://schemas.openxmlformats.org/officeDocument/2006/relationships/hyperlink" Target="https://bluetooth.atlassian.net/browse/ES-25395" TargetMode="External"/><Relationship Id="rId250" Type="http://schemas.openxmlformats.org/officeDocument/2006/relationships/hyperlink" Target="https://bluetooth.atlassian.net/browse/ES-22906" TargetMode="External"/><Relationship Id="rId292" Type="http://schemas.openxmlformats.org/officeDocument/2006/relationships/hyperlink" Target="https://bluetooth.atlassian.net/browse/ES-24688" TargetMode="External"/><Relationship Id="rId306" Type="http://schemas.openxmlformats.org/officeDocument/2006/relationships/hyperlink" Target="https://bluetooth.atlassian.net/browse/ES-24856" TargetMode="External"/><Relationship Id="rId45" Type="http://schemas.openxmlformats.org/officeDocument/2006/relationships/hyperlink" Target="https://bluetooth.atlassian.net/browse/ES-23973" TargetMode="External"/><Relationship Id="rId87" Type="http://schemas.openxmlformats.org/officeDocument/2006/relationships/hyperlink" Target="https://bluetooth.atlassian.net/browse/ES-18957" TargetMode="External"/><Relationship Id="rId110" Type="http://schemas.openxmlformats.org/officeDocument/2006/relationships/hyperlink" Target="https://bluetooth.atlassian.net/browse/ES-16543" TargetMode="External"/><Relationship Id="rId348" Type="http://schemas.openxmlformats.org/officeDocument/2006/relationships/hyperlink" Target="https://bluetooth.atlassian.net/browse/ES-24039" TargetMode="External"/><Relationship Id="rId152" Type="http://schemas.openxmlformats.org/officeDocument/2006/relationships/hyperlink" Target="https://bluetooth.atlassian.net/browse/ES-22535" TargetMode="External"/><Relationship Id="rId194" Type="http://schemas.openxmlformats.org/officeDocument/2006/relationships/hyperlink" Target="https://bluetooth.atlassian.net/browse/ES-23259" TargetMode="External"/><Relationship Id="rId208" Type="http://schemas.openxmlformats.org/officeDocument/2006/relationships/hyperlink" Target="https://bluetooth.atlassian.net/browse/ES-22918" TargetMode="External"/><Relationship Id="rId261" Type="http://schemas.openxmlformats.org/officeDocument/2006/relationships/hyperlink" Target="https://bluetooth.atlassian.net/browse/ES-22373" TargetMode="External"/><Relationship Id="rId14" Type="http://schemas.openxmlformats.org/officeDocument/2006/relationships/hyperlink" Target="https://bluetooth.atlassian.net/browse/ES-22166" TargetMode="External"/><Relationship Id="rId35" Type="http://schemas.openxmlformats.org/officeDocument/2006/relationships/hyperlink" Target="https://bluetooth.atlassian.net/browse/ES-24757" TargetMode="External"/><Relationship Id="rId56" Type="http://schemas.openxmlformats.org/officeDocument/2006/relationships/hyperlink" Target="https://bluetooth.atlassian.net/browse/ES-22967" TargetMode="External"/><Relationship Id="rId77" Type="http://schemas.openxmlformats.org/officeDocument/2006/relationships/hyperlink" Target="https://bluetooth.atlassian.net/browse/ES-24671" TargetMode="External"/><Relationship Id="rId100" Type="http://schemas.openxmlformats.org/officeDocument/2006/relationships/hyperlink" Target="https://bluetooth.atlassian.net/browse/ES-24281" TargetMode="External"/><Relationship Id="rId282" Type="http://schemas.openxmlformats.org/officeDocument/2006/relationships/hyperlink" Target="https://bluetooth.atlassian.net/browse/ES-22835" TargetMode="External"/><Relationship Id="rId317" Type="http://schemas.openxmlformats.org/officeDocument/2006/relationships/hyperlink" Target="https://bluetooth.atlassian.net/browse/ES-24617" TargetMode="External"/><Relationship Id="rId338" Type="http://schemas.openxmlformats.org/officeDocument/2006/relationships/hyperlink" Target="https://bluetooth.atlassian.net/browse/ES-23618" TargetMode="External"/><Relationship Id="rId8" Type="http://schemas.openxmlformats.org/officeDocument/2006/relationships/hyperlink" Target="https://bluetooth.atlassian.net/browse/ES-24051" TargetMode="External"/><Relationship Id="rId98" Type="http://schemas.openxmlformats.org/officeDocument/2006/relationships/hyperlink" Target="https://bluetooth.atlassian.net/browse/ES-25670" TargetMode="External"/><Relationship Id="rId121" Type="http://schemas.openxmlformats.org/officeDocument/2006/relationships/hyperlink" Target="https://bluetooth.atlassian.net/browse/ES-23508" TargetMode="External"/><Relationship Id="rId142" Type="http://schemas.openxmlformats.org/officeDocument/2006/relationships/hyperlink" Target="https://bluetooth.atlassian.net/browse/ES-22489" TargetMode="External"/><Relationship Id="rId163" Type="http://schemas.openxmlformats.org/officeDocument/2006/relationships/hyperlink" Target="https://bluetooth.atlassian.net/browse/ES-22492" TargetMode="External"/><Relationship Id="rId184" Type="http://schemas.openxmlformats.org/officeDocument/2006/relationships/hyperlink" Target="https://bluetooth.atlassian.net/browse/ES-22487" TargetMode="External"/><Relationship Id="rId219" Type="http://schemas.openxmlformats.org/officeDocument/2006/relationships/hyperlink" Target="https://bluetooth.atlassian.net/browse/ES-25046" TargetMode="External"/><Relationship Id="rId230" Type="http://schemas.openxmlformats.org/officeDocument/2006/relationships/hyperlink" Target="https://bluetooth.atlassian.net/browse/ES-22678" TargetMode="External"/><Relationship Id="rId251" Type="http://schemas.openxmlformats.org/officeDocument/2006/relationships/hyperlink" Target="https://bluetooth.atlassian.net/browse/ES-22882" TargetMode="External"/><Relationship Id="rId25" Type="http://schemas.openxmlformats.org/officeDocument/2006/relationships/hyperlink" Target="https://bluetooth.atlassian.net/browse/ES-23651" TargetMode="External"/><Relationship Id="rId46" Type="http://schemas.openxmlformats.org/officeDocument/2006/relationships/hyperlink" Target="https://bluetooth.atlassian.net/browse/ES-23467" TargetMode="External"/><Relationship Id="rId67" Type="http://schemas.openxmlformats.org/officeDocument/2006/relationships/hyperlink" Target="https://bluetooth.atlassian.net/browse/ES-24806" TargetMode="External"/><Relationship Id="rId272" Type="http://schemas.openxmlformats.org/officeDocument/2006/relationships/hyperlink" Target="https://bluetooth.atlassian.net/browse/ES-22565" TargetMode="External"/><Relationship Id="rId293" Type="http://schemas.openxmlformats.org/officeDocument/2006/relationships/hyperlink" Target="https://bluetooth.atlassian.net/browse/ES-24373" TargetMode="External"/><Relationship Id="rId307" Type="http://schemas.openxmlformats.org/officeDocument/2006/relationships/hyperlink" Target="https://bluetooth.atlassian.net/browse/ES-24763" TargetMode="External"/><Relationship Id="rId328" Type="http://schemas.openxmlformats.org/officeDocument/2006/relationships/hyperlink" Target="https://bluetooth.atlassian.net/browse/ES-17049" TargetMode="External"/><Relationship Id="rId88" Type="http://schemas.openxmlformats.org/officeDocument/2006/relationships/hyperlink" Target="https://bluetooth.atlassian.net/browse/ES-24480" TargetMode="External"/><Relationship Id="rId111" Type="http://schemas.openxmlformats.org/officeDocument/2006/relationships/hyperlink" Target="https://bluetooth.atlassian.net/browse/ES-24798" TargetMode="External"/><Relationship Id="rId132" Type="http://schemas.openxmlformats.org/officeDocument/2006/relationships/hyperlink" Target="https://bluetooth.atlassian.net/browse/ES-24786" TargetMode="External"/><Relationship Id="rId153" Type="http://schemas.openxmlformats.org/officeDocument/2006/relationships/hyperlink" Target="https://bluetooth.atlassian.net/browse/ES-22534" TargetMode="External"/><Relationship Id="rId174" Type="http://schemas.openxmlformats.org/officeDocument/2006/relationships/hyperlink" Target="https://bluetooth.atlassian.net/browse/ES-22255" TargetMode="External"/><Relationship Id="rId195" Type="http://schemas.openxmlformats.org/officeDocument/2006/relationships/hyperlink" Target="https://bluetooth.atlassian.net/browse/ES-22482" TargetMode="External"/><Relationship Id="rId209" Type="http://schemas.openxmlformats.org/officeDocument/2006/relationships/hyperlink" Target="https://bluetooth.atlassian.net/browse/ES-22856" TargetMode="External"/><Relationship Id="rId220" Type="http://schemas.openxmlformats.org/officeDocument/2006/relationships/hyperlink" Target="https://bluetooth.atlassian.net/browse/ES-24855" TargetMode="External"/><Relationship Id="rId241" Type="http://schemas.openxmlformats.org/officeDocument/2006/relationships/hyperlink" Target="https://bluetooth.atlassian.net/browse/ES-24903" TargetMode="External"/><Relationship Id="rId15" Type="http://schemas.openxmlformats.org/officeDocument/2006/relationships/hyperlink" Target="https://bluetooth.atlassian.net/browse/ES-23052" TargetMode="External"/><Relationship Id="rId36" Type="http://schemas.openxmlformats.org/officeDocument/2006/relationships/hyperlink" Target="https://bluetooth.atlassian.net/browse/ES-22971" TargetMode="External"/><Relationship Id="rId57" Type="http://schemas.openxmlformats.org/officeDocument/2006/relationships/hyperlink" Target="https://bluetooth.atlassian.net/browse/ES-23972" TargetMode="External"/><Relationship Id="rId262" Type="http://schemas.openxmlformats.org/officeDocument/2006/relationships/hyperlink" Target="https://bluetooth.atlassian.net/browse/ES-22192" TargetMode="External"/><Relationship Id="rId283" Type="http://schemas.openxmlformats.org/officeDocument/2006/relationships/hyperlink" Target="https://bluetooth.atlassian.net/browse/ES-22649" TargetMode="External"/><Relationship Id="rId318" Type="http://schemas.openxmlformats.org/officeDocument/2006/relationships/hyperlink" Target="https://bluetooth.atlassian.net/browse/ES-22527" TargetMode="External"/><Relationship Id="rId339" Type="http://schemas.openxmlformats.org/officeDocument/2006/relationships/hyperlink" Target="https://bluetooth.atlassian.net/browse/ES-23262" TargetMode="External"/><Relationship Id="rId78" Type="http://schemas.openxmlformats.org/officeDocument/2006/relationships/hyperlink" Target="https://bluetooth.atlassian.net/browse/ES-24672" TargetMode="External"/><Relationship Id="rId99" Type="http://schemas.openxmlformats.org/officeDocument/2006/relationships/hyperlink" Target="https://bluetooth.atlassian.net/jira/software/c/projects/ES/issues/ES-24697" TargetMode="External"/><Relationship Id="rId101" Type="http://schemas.openxmlformats.org/officeDocument/2006/relationships/hyperlink" Target="https://bluetooth.atlassian.net/browse/ES-23649" TargetMode="External"/><Relationship Id="rId122" Type="http://schemas.openxmlformats.org/officeDocument/2006/relationships/hyperlink" Target="https://bluetooth.atlassian.net/browse/ES-23127" TargetMode="External"/><Relationship Id="rId143" Type="http://schemas.openxmlformats.org/officeDocument/2006/relationships/hyperlink" Target="https://bluetooth.atlassian.net/browse/ES-24797" TargetMode="External"/><Relationship Id="rId164" Type="http://schemas.openxmlformats.org/officeDocument/2006/relationships/hyperlink" Target="https://bluetooth.atlassian.net/browse/ES-18082" TargetMode="External"/><Relationship Id="rId185" Type="http://schemas.openxmlformats.org/officeDocument/2006/relationships/hyperlink" Target="https://bluetooth.atlassian.net/browse/ES-17355" TargetMode="External"/><Relationship Id="rId9" Type="http://schemas.openxmlformats.org/officeDocument/2006/relationships/hyperlink" Target="https://bluetooth.atlassian.net/browse/ES-23117" TargetMode="External"/><Relationship Id="rId210" Type="http://schemas.openxmlformats.org/officeDocument/2006/relationships/hyperlink" Target="https://bluetooth.atlassian.net/browse/ES-22851" TargetMode="External"/><Relationship Id="rId26" Type="http://schemas.openxmlformats.org/officeDocument/2006/relationships/hyperlink" Target="https://bluetooth.atlassian.net/browse/ES-24479" TargetMode="External"/><Relationship Id="rId231" Type="http://schemas.openxmlformats.org/officeDocument/2006/relationships/hyperlink" Target="https://bluetooth.atlassian.net/browse/ES-22448" TargetMode="External"/><Relationship Id="rId252" Type="http://schemas.openxmlformats.org/officeDocument/2006/relationships/hyperlink" Target="https://bluetooth.atlassian.net/browse/ES-22869" TargetMode="External"/><Relationship Id="rId273" Type="http://schemas.openxmlformats.org/officeDocument/2006/relationships/hyperlink" Target="https://bluetooth.atlassian.net/browse/ES-22496" TargetMode="External"/><Relationship Id="rId294" Type="http://schemas.openxmlformats.org/officeDocument/2006/relationships/hyperlink" Target="https://bluetooth.atlassian.net/browse/ES-24372" TargetMode="External"/><Relationship Id="rId308" Type="http://schemas.openxmlformats.org/officeDocument/2006/relationships/hyperlink" Target="https://bluetooth.atlassian.net/browse/ES-24011" TargetMode="External"/><Relationship Id="rId329" Type="http://schemas.openxmlformats.org/officeDocument/2006/relationships/hyperlink" Target="https://bluetooth.atlassian.net/browse/ES-16886" TargetMode="External"/><Relationship Id="rId47" Type="http://schemas.openxmlformats.org/officeDocument/2006/relationships/hyperlink" Target="https://bluetooth.atlassian.net/browse/ES-23466" TargetMode="External"/><Relationship Id="rId68" Type="http://schemas.openxmlformats.org/officeDocument/2006/relationships/hyperlink" Target="https://bluetooth.atlassian.net/browse/ES-23586" TargetMode="External"/><Relationship Id="rId89" Type="http://schemas.openxmlformats.org/officeDocument/2006/relationships/hyperlink" Target="https://bluetooth.atlassian.net/browse/ES-25664" TargetMode="External"/><Relationship Id="rId112" Type="http://schemas.openxmlformats.org/officeDocument/2006/relationships/hyperlink" Target="https://bluetooth.atlassian.net/browse/ES-24044" TargetMode="External"/><Relationship Id="rId133" Type="http://schemas.openxmlformats.org/officeDocument/2006/relationships/hyperlink" Target="https://bluetooth.atlassian.net/browse/ES-24675" TargetMode="External"/><Relationship Id="rId154" Type="http://schemas.openxmlformats.org/officeDocument/2006/relationships/hyperlink" Target="https://bluetooth.atlassian.net/browse/ES-24440" TargetMode="External"/><Relationship Id="rId175" Type="http://schemas.openxmlformats.org/officeDocument/2006/relationships/hyperlink" Target="https://bluetooth.atlassian.net/browse/ES-20657" TargetMode="External"/><Relationship Id="rId340" Type="http://schemas.openxmlformats.org/officeDocument/2006/relationships/hyperlink" Target="https://bluetooth.atlassian.net/browse/ES-22540" TargetMode="External"/><Relationship Id="rId196" Type="http://schemas.openxmlformats.org/officeDocument/2006/relationships/hyperlink" Target="https://bluetooth.atlassian.net/browse/ES-22393" TargetMode="External"/><Relationship Id="rId200" Type="http://schemas.openxmlformats.org/officeDocument/2006/relationships/hyperlink" Target="https://bluetooth.atlassian.net/browse/ES-24507" TargetMode="External"/><Relationship Id="rId16" Type="http://schemas.openxmlformats.org/officeDocument/2006/relationships/hyperlink" Target="https://bluetooth.atlassian.net/browse/ES-24514" TargetMode="External"/><Relationship Id="rId221" Type="http://schemas.openxmlformats.org/officeDocument/2006/relationships/hyperlink" Target="https://bluetooth.atlassian.net/browse/ES-24125" TargetMode="External"/><Relationship Id="rId242" Type="http://schemas.openxmlformats.org/officeDocument/2006/relationships/hyperlink" Target="https://bluetooth.atlassian.net/browse/ES-24783" TargetMode="External"/><Relationship Id="rId263" Type="http://schemas.openxmlformats.org/officeDocument/2006/relationships/hyperlink" Target="https://bluetooth.atlassian.net/browse/ES-22332" TargetMode="External"/><Relationship Id="rId284" Type="http://schemas.openxmlformats.org/officeDocument/2006/relationships/hyperlink" Target="https://bluetooth.atlassian.net/browse/ES-22648" TargetMode="External"/><Relationship Id="rId319" Type="http://schemas.openxmlformats.org/officeDocument/2006/relationships/hyperlink" Target="https://bluetooth.atlassian.net/browse/ES-22531" TargetMode="External"/><Relationship Id="rId37" Type="http://schemas.openxmlformats.org/officeDocument/2006/relationships/hyperlink" Target="https://bluetooth.atlassian.net/browse/ES-22733" TargetMode="External"/><Relationship Id="rId58" Type="http://schemas.openxmlformats.org/officeDocument/2006/relationships/hyperlink" Target="https://bluetooth.atlassian.net/browse/ES-23008" TargetMode="External"/><Relationship Id="rId79" Type="http://schemas.openxmlformats.org/officeDocument/2006/relationships/hyperlink" Target="https://bluetooth.atlassian.net/browse/ES-24707" TargetMode="External"/><Relationship Id="rId102" Type="http://schemas.openxmlformats.org/officeDocument/2006/relationships/hyperlink" Target="https://bluetooth.atlassian.net/browse/ES-22957" TargetMode="External"/><Relationship Id="rId123" Type="http://schemas.openxmlformats.org/officeDocument/2006/relationships/hyperlink" Target="https://bluetooth.atlassian.net/browse/ES-22262" TargetMode="External"/><Relationship Id="rId144" Type="http://schemas.openxmlformats.org/officeDocument/2006/relationships/hyperlink" Target="https://bluetooth.atlassian.net/browse/ES-23627" TargetMode="External"/><Relationship Id="rId330" Type="http://schemas.openxmlformats.org/officeDocument/2006/relationships/hyperlink" Target="https://bluetooth.atlassian.net/browse/ES-25429" TargetMode="External"/><Relationship Id="rId90" Type="http://schemas.openxmlformats.org/officeDocument/2006/relationships/hyperlink" Target="https://bluetooth.atlassian.net/browse/ES-24683" TargetMode="External"/><Relationship Id="rId165" Type="http://schemas.openxmlformats.org/officeDocument/2006/relationships/hyperlink" Target="https://bluetooth.atlassian.net/browse/ES-24620" TargetMode="External"/><Relationship Id="rId186" Type="http://schemas.openxmlformats.org/officeDocument/2006/relationships/hyperlink" Target="https://bluetooth.atlassian.net/browse/ES-24580" TargetMode="External"/><Relationship Id="rId211" Type="http://schemas.openxmlformats.org/officeDocument/2006/relationships/hyperlink" Target="https://bluetooth.atlassian.net/browse/ES-22844" TargetMode="External"/><Relationship Id="rId232" Type="http://schemas.openxmlformats.org/officeDocument/2006/relationships/hyperlink" Target="https://bluetooth.atlassian.net/browse/ES-22167" TargetMode="External"/><Relationship Id="rId253" Type="http://schemas.openxmlformats.org/officeDocument/2006/relationships/hyperlink" Target="https://bluetooth.atlassian.net/browse/ES-22857" TargetMode="External"/><Relationship Id="rId274" Type="http://schemas.openxmlformats.org/officeDocument/2006/relationships/hyperlink" Target="https://bluetooth.atlassian.net/browse/ES-22311" TargetMode="External"/><Relationship Id="rId295" Type="http://schemas.openxmlformats.org/officeDocument/2006/relationships/hyperlink" Target="https://bluetooth.atlassian.net/browse/ES-24371" TargetMode="External"/><Relationship Id="rId309" Type="http://schemas.openxmlformats.org/officeDocument/2006/relationships/hyperlink" Target="https://bluetooth.atlassian.net/browse/ES-23726" TargetMode="External"/><Relationship Id="rId27" Type="http://schemas.openxmlformats.org/officeDocument/2006/relationships/hyperlink" Target="https://bluetooth.atlassian.net/browse/ES-22503" TargetMode="External"/><Relationship Id="rId48" Type="http://schemas.openxmlformats.org/officeDocument/2006/relationships/hyperlink" Target="https://bluetooth.atlassian.net/browse/ES-23563" TargetMode="External"/><Relationship Id="rId69" Type="http://schemas.openxmlformats.org/officeDocument/2006/relationships/hyperlink" Target="https://bluetooth.atlassian.net/browse/ES-23565" TargetMode="External"/><Relationship Id="rId113" Type="http://schemas.openxmlformats.org/officeDocument/2006/relationships/hyperlink" Target="https://bluetooth.atlassian.net/browse/ES-24800" TargetMode="External"/><Relationship Id="rId134" Type="http://schemas.openxmlformats.org/officeDocument/2006/relationships/hyperlink" Target="https://bluetooth.atlassian.net/browse/ES-24582" TargetMode="External"/><Relationship Id="rId320" Type="http://schemas.openxmlformats.org/officeDocument/2006/relationships/hyperlink" Target="https://bluetooth.atlassian.net/browse/ES-22197" TargetMode="External"/><Relationship Id="rId80" Type="http://schemas.openxmlformats.org/officeDocument/2006/relationships/hyperlink" Target="https://bluetooth.atlassian.net/browse/ES-24333" TargetMode="External"/><Relationship Id="rId155" Type="http://schemas.openxmlformats.org/officeDocument/2006/relationships/hyperlink" Target="https://bluetooth.atlassian.net/browse/ES-23631" TargetMode="External"/><Relationship Id="rId176" Type="http://schemas.openxmlformats.org/officeDocument/2006/relationships/hyperlink" Target="https://bluetooth.atlassian.net/browse/ES-23071" TargetMode="External"/><Relationship Id="rId197" Type="http://schemas.openxmlformats.org/officeDocument/2006/relationships/hyperlink" Target="https://bluetooth.atlassian.net/browse/ES-24834" TargetMode="External"/><Relationship Id="rId341" Type="http://schemas.openxmlformats.org/officeDocument/2006/relationships/hyperlink" Target="https://bluetooth.atlassian.net/browse/ES-22530" TargetMode="External"/><Relationship Id="rId201" Type="http://schemas.openxmlformats.org/officeDocument/2006/relationships/hyperlink" Target="https://bluetooth.atlassian.net/browse/ES-24443" TargetMode="External"/><Relationship Id="rId222" Type="http://schemas.openxmlformats.org/officeDocument/2006/relationships/hyperlink" Target="https://bluetooth.atlassian.net/browse/ES-24009" TargetMode="External"/><Relationship Id="rId243" Type="http://schemas.openxmlformats.org/officeDocument/2006/relationships/hyperlink" Target="https://bluetooth.atlassian.net/browse/ES-24285" TargetMode="External"/><Relationship Id="rId264" Type="http://schemas.openxmlformats.org/officeDocument/2006/relationships/hyperlink" Target="https://bluetooth.atlassian.net/browse/ES-25669" TargetMode="External"/><Relationship Id="rId285" Type="http://schemas.openxmlformats.org/officeDocument/2006/relationships/hyperlink" Target="https://bluetooth.atlassian.net/browse/ES-22479" TargetMode="External"/><Relationship Id="rId17" Type="http://schemas.openxmlformats.org/officeDocument/2006/relationships/hyperlink" Target="https://bluetooth.atlassian.net/browse/ES-23143" TargetMode="External"/><Relationship Id="rId38" Type="http://schemas.openxmlformats.org/officeDocument/2006/relationships/hyperlink" Target="https://bluetooth.atlassian.net/browse/ES-22974" TargetMode="External"/><Relationship Id="rId59" Type="http://schemas.openxmlformats.org/officeDocument/2006/relationships/hyperlink" Target="https://bluetooth.atlassian.net/browse/ES-22146" TargetMode="External"/><Relationship Id="rId103" Type="http://schemas.openxmlformats.org/officeDocument/2006/relationships/hyperlink" Target="https://bluetooth.atlassian.net/browse/ES-22697" TargetMode="External"/><Relationship Id="rId124" Type="http://schemas.openxmlformats.org/officeDocument/2006/relationships/hyperlink" Target="https://bluetooth.atlassian.net/browse/ES-23739" TargetMode="External"/><Relationship Id="rId310" Type="http://schemas.openxmlformats.org/officeDocument/2006/relationships/hyperlink" Target="https://bluetooth.atlassian.net/browse/ES-22876" TargetMode="External"/><Relationship Id="rId70" Type="http://schemas.openxmlformats.org/officeDocument/2006/relationships/hyperlink" Target="https://bluetooth.atlassian.net/browse/ES-23485" TargetMode="External"/><Relationship Id="rId91" Type="http://schemas.openxmlformats.org/officeDocument/2006/relationships/hyperlink" Target="https://bluetooth.atlassian.net/browse/ES-24684" TargetMode="External"/><Relationship Id="rId145" Type="http://schemas.openxmlformats.org/officeDocument/2006/relationships/hyperlink" Target="https://bluetooth.atlassian.net/browse/ES-23660" TargetMode="External"/><Relationship Id="rId166" Type="http://schemas.openxmlformats.org/officeDocument/2006/relationships/hyperlink" Target="https://bluetooth.atlassian.net/browse/ES-22726" TargetMode="External"/><Relationship Id="rId187" Type="http://schemas.openxmlformats.org/officeDocument/2006/relationships/hyperlink" Target="https://bluetooth.atlassian.net/browse/ES-24473" TargetMode="External"/><Relationship Id="rId331" Type="http://schemas.openxmlformats.org/officeDocument/2006/relationships/hyperlink" Target="https://bluetooth.atlassian.net/browse/ES-25794" TargetMode="External"/><Relationship Id="rId1" Type="http://schemas.openxmlformats.org/officeDocument/2006/relationships/hyperlink" Target="https://bluetooth.atlassian.net/browse/ES-23170" TargetMode="External"/><Relationship Id="rId212" Type="http://schemas.openxmlformats.org/officeDocument/2006/relationships/hyperlink" Target="https://bluetooth.atlassian.net/browse/ES-22709" TargetMode="External"/><Relationship Id="rId233" Type="http://schemas.openxmlformats.org/officeDocument/2006/relationships/hyperlink" Target="https://bluetooth.atlassian.net/browse/ES-18552" TargetMode="External"/><Relationship Id="rId254" Type="http://schemas.openxmlformats.org/officeDocument/2006/relationships/hyperlink" Target="https://bluetooth.atlassian.net/browse/ES-22791" TargetMode="External"/><Relationship Id="rId28" Type="http://schemas.openxmlformats.org/officeDocument/2006/relationships/hyperlink" Target="https://bluetooth.atlassian.net/browse/ES-25208" TargetMode="External"/><Relationship Id="rId49" Type="http://schemas.openxmlformats.org/officeDocument/2006/relationships/hyperlink" Target="https://bluetooth.atlassian.net/browse/ES-23156" TargetMode="External"/><Relationship Id="rId114" Type="http://schemas.openxmlformats.org/officeDocument/2006/relationships/hyperlink" Target="https://bluetooth.atlassian.net/browse/ES-25101" TargetMode="External"/><Relationship Id="rId275" Type="http://schemas.openxmlformats.org/officeDocument/2006/relationships/hyperlink" Target="https://bluetooth.atlassian.net/browse/ES-20658" TargetMode="External"/><Relationship Id="rId296" Type="http://schemas.openxmlformats.org/officeDocument/2006/relationships/hyperlink" Target="https://bluetooth.atlassian.net/browse/ES-22700" TargetMode="External"/><Relationship Id="rId300" Type="http://schemas.openxmlformats.org/officeDocument/2006/relationships/hyperlink" Target="https://bluetooth.atlassian.net/browse/ES-22554" TargetMode="External"/><Relationship Id="rId60" Type="http://schemas.openxmlformats.org/officeDocument/2006/relationships/hyperlink" Target="https://bluetooth.atlassian.net/browse/ES-22211" TargetMode="External"/><Relationship Id="rId81" Type="http://schemas.openxmlformats.org/officeDocument/2006/relationships/hyperlink" Target="https://bluetooth.atlassian.net/browse/ES-24225" TargetMode="External"/><Relationship Id="rId135" Type="http://schemas.openxmlformats.org/officeDocument/2006/relationships/hyperlink" Target="https://bluetooth.atlassian.net/browse/ES-24171" TargetMode="External"/><Relationship Id="rId156" Type="http://schemas.openxmlformats.org/officeDocument/2006/relationships/hyperlink" Target="https://bluetooth.atlassian.net/browse/ES-23630" TargetMode="External"/><Relationship Id="rId177" Type="http://schemas.openxmlformats.org/officeDocument/2006/relationships/hyperlink" Target="https://bluetooth.atlassian.net/browse/ES-22416" TargetMode="External"/><Relationship Id="rId198" Type="http://schemas.openxmlformats.org/officeDocument/2006/relationships/hyperlink" Target="https://bluetooth.atlassian.net/browse/ES-24691" TargetMode="External"/><Relationship Id="rId321" Type="http://schemas.openxmlformats.org/officeDocument/2006/relationships/hyperlink" Target="https://bluetooth.atlassian.net/browse/ES-20607" TargetMode="External"/><Relationship Id="rId342" Type="http://schemas.openxmlformats.org/officeDocument/2006/relationships/hyperlink" Target="https://bluetooth.atlassian.net/browse/ES-22504" TargetMode="External"/><Relationship Id="rId202" Type="http://schemas.openxmlformats.org/officeDocument/2006/relationships/hyperlink" Target="https://bluetooth.atlassian.net/browse/ES-23488" TargetMode="External"/><Relationship Id="rId223" Type="http://schemas.openxmlformats.org/officeDocument/2006/relationships/hyperlink" Target="https://bluetooth.atlassian.net/browse/ES-23896" TargetMode="External"/><Relationship Id="rId244" Type="http://schemas.openxmlformats.org/officeDocument/2006/relationships/hyperlink" Target="https://bluetooth.atlassian.net/browse/ES-24200" TargetMode="External"/><Relationship Id="rId18" Type="http://schemas.openxmlformats.org/officeDocument/2006/relationships/hyperlink" Target="https://bluetooth.atlassian.net/browse/ES-23580" TargetMode="External"/><Relationship Id="rId39" Type="http://schemas.openxmlformats.org/officeDocument/2006/relationships/hyperlink" Target="https://bluetooth.atlassian.net/browse/ES-22968" TargetMode="External"/><Relationship Id="rId265" Type="http://schemas.openxmlformats.org/officeDocument/2006/relationships/hyperlink" Target="https://bluetooth.atlassian.net/browse/ES-18139" TargetMode="External"/><Relationship Id="rId286" Type="http://schemas.openxmlformats.org/officeDocument/2006/relationships/hyperlink" Target="https://bluetooth.atlassian.net/browse/ES-22181" TargetMode="External"/><Relationship Id="rId50" Type="http://schemas.openxmlformats.org/officeDocument/2006/relationships/hyperlink" Target="https://bluetooth.atlassian.net/browse/ES-23370" TargetMode="External"/><Relationship Id="rId104" Type="http://schemas.openxmlformats.org/officeDocument/2006/relationships/hyperlink" Target="https://bluetooth.atlassian.net/browse/ES-23648" TargetMode="External"/><Relationship Id="rId125" Type="http://schemas.openxmlformats.org/officeDocument/2006/relationships/hyperlink" Target="https://bluetooth.atlassian.net/browse/ES-236579" TargetMode="External"/><Relationship Id="rId146" Type="http://schemas.openxmlformats.org/officeDocument/2006/relationships/hyperlink" Target="https://bluetooth.atlassian.net/browse/ES-23991" TargetMode="External"/><Relationship Id="rId167" Type="http://schemas.openxmlformats.org/officeDocument/2006/relationships/hyperlink" Target="https://bluetooth.atlassian.net/browse/ES-22783" TargetMode="External"/><Relationship Id="rId188" Type="http://schemas.openxmlformats.org/officeDocument/2006/relationships/hyperlink" Target="https://bluetooth.atlassian.net/browse/ES-24247" TargetMode="External"/><Relationship Id="rId311" Type="http://schemas.openxmlformats.org/officeDocument/2006/relationships/hyperlink" Target="https://bluetooth.atlassian.net/browse/ES-20485" TargetMode="External"/><Relationship Id="rId332" Type="http://schemas.openxmlformats.org/officeDocument/2006/relationships/hyperlink" Target="https://bluetooth.atlassian.net/browse/ES-25605" TargetMode="External"/><Relationship Id="rId71" Type="http://schemas.openxmlformats.org/officeDocument/2006/relationships/hyperlink" Target="https://bluetooth.atlassian.net/browse/ES-22642" TargetMode="External"/><Relationship Id="rId92" Type="http://schemas.openxmlformats.org/officeDocument/2006/relationships/hyperlink" Target="https://bluetooth.atlassian.net/browse/ES-24685" TargetMode="External"/><Relationship Id="rId213" Type="http://schemas.openxmlformats.org/officeDocument/2006/relationships/hyperlink" Target="https://bluetooth.atlassian.net/browse/ES-22667" TargetMode="External"/><Relationship Id="rId234" Type="http://schemas.openxmlformats.org/officeDocument/2006/relationships/hyperlink" Target="https://bluetooth.atlassian.net/browse/ES-23180" TargetMode="External"/><Relationship Id="rId2" Type="http://schemas.openxmlformats.org/officeDocument/2006/relationships/hyperlink" Target="https://bluetooth.atlassian.net/browse/ES-23171" TargetMode="External"/><Relationship Id="rId29" Type="http://schemas.openxmlformats.org/officeDocument/2006/relationships/hyperlink" Target="https://bluetooth.atlassian.net/browse/ES-22968" TargetMode="External"/><Relationship Id="rId255" Type="http://schemas.openxmlformats.org/officeDocument/2006/relationships/hyperlink" Target="https://bluetooth.atlassian.net/browse/ES-22691" TargetMode="External"/><Relationship Id="rId276" Type="http://schemas.openxmlformats.org/officeDocument/2006/relationships/hyperlink" Target="https://bluetooth.atlassian.net/browse/ES-17874" TargetMode="External"/><Relationship Id="rId297" Type="http://schemas.openxmlformats.org/officeDocument/2006/relationships/hyperlink" Target="https://bluetooth.atlassian.net/browse/ES-22591" TargetMode="External"/><Relationship Id="rId40" Type="http://schemas.openxmlformats.org/officeDocument/2006/relationships/hyperlink" Target="https://bluetooth.atlassian.net/browse/ES-22502" TargetMode="External"/><Relationship Id="rId115" Type="http://schemas.openxmlformats.org/officeDocument/2006/relationships/hyperlink" Target="https://bluetooth.atlassian.net/browse/ES-24457" TargetMode="External"/><Relationship Id="rId136" Type="http://schemas.openxmlformats.org/officeDocument/2006/relationships/hyperlink" Target="https://bluetooth.atlassian.net/browse/ES-24042" TargetMode="External"/><Relationship Id="rId157" Type="http://schemas.openxmlformats.org/officeDocument/2006/relationships/hyperlink" Target="https://bluetooth.atlassian.net/browse/ES-22875" TargetMode="External"/><Relationship Id="rId178" Type="http://schemas.openxmlformats.org/officeDocument/2006/relationships/hyperlink" Target="https://bluetooth.atlassian.net/browse/ES-24892" TargetMode="External"/><Relationship Id="rId301" Type="http://schemas.openxmlformats.org/officeDocument/2006/relationships/hyperlink" Target="https://bluetooth.atlassian.net/browse/ES-22553" TargetMode="External"/><Relationship Id="rId322" Type="http://schemas.openxmlformats.org/officeDocument/2006/relationships/hyperlink" Target="https://bluetooth.atlassian.net/browse/ES-19321" TargetMode="External"/><Relationship Id="rId343" Type="http://schemas.openxmlformats.org/officeDocument/2006/relationships/hyperlink" Target="https://bluetooth.atlassian.net/browse/ES-22270" TargetMode="External"/><Relationship Id="rId61" Type="http://schemas.openxmlformats.org/officeDocument/2006/relationships/hyperlink" Target="https://bluetooth.atlassian.net/browse/ES-25507" TargetMode="External"/><Relationship Id="rId82" Type="http://schemas.openxmlformats.org/officeDocument/2006/relationships/hyperlink" Target="https://bluetooth.atlassian.net/browse/ES-24417" TargetMode="External"/><Relationship Id="rId199" Type="http://schemas.openxmlformats.org/officeDocument/2006/relationships/hyperlink" Target="https://bluetooth.atlassian.net/browse/ES-24662" TargetMode="External"/><Relationship Id="rId203" Type="http://schemas.openxmlformats.org/officeDocument/2006/relationships/hyperlink" Target="https://bluetooth.atlassian.net/browse/ES-23486" TargetMode="External"/><Relationship Id="rId19" Type="http://schemas.openxmlformats.org/officeDocument/2006/relationships/hyperlink" Target="https://bluetooth.atlassian.net/browse/ES-22966" TargetMode="External"/><Relationship Id="rId224" Type="http://schemas.openxmlformats.org/officeDocument/2006/relationships/hyperlink" Target="https://bluetooth.atlassian.net/browse/ES-23602" TargetMode="External"/><Relationship Id="rId245" Type="http://schemas.openxmlformats.org/officeDocument/2006/relationships/hyperlink" Target="https://bluetooth.atlassian.net/browse/ES-23982" TargetMode="External"/><Relationship Id="rId266" Type="http://schemas.openxmlformats.org/officeDocument/2006/relationships/hyperlink" Target="https://bluetooth.atlassian.net/browse/ES-22552" TargetMode="External"/><Relationship Id="rId287" Type="http://schemas.openxmlformats.org/officeDocument/2006/relationships/hyperlink" Target="https://bluetooth.atlassian.net/browse/ES-18973" TargetMode="External"/><Relationship Id="rId30" Type="http://schemas.openxmlformats.org/officeDocument/2006/relationships/hyperlink" Target="https://bluetooth.atlassian.net/browse/ES-23971" TargetMode="External"/><Relationship Id="rId105" Type="http://schemas.openxmlformats.org/officeDocument/2006/relationships/hyperlink" Target="https://bluetooth.atlassian.net/browse/ES-22579" TargetMode="External"/><Relationship Id="rId126" Type="http://schemas.openxmlformats.org/officeDocument/2006/relationships/hyperlink" Target="https://bluetooth.atlassian.net/browse/ES-23219" TargetMode="External"/><Relationship Id="rId147" Type="http://schemas.openxmlformats.org/officeDocument/2006/relationships/hyperlink" Target="https://bluetooth.atlassian.net/browse/ES-22641" TargetMode="External"/><Relationship Id="rId168" Type="http://schemas.openxmlformats.org/officeDocument/2006/relationships/hyperlink" Target="https://bluetooth.atlassian.net/browse/ES-22289" TargetMode="External"/><Relationship Id="rId312" Type="http://schemas.openxmlformats.org/officeDocument/2006/relationships/hyperlink" Target="https://bluetooth.atlassian.net/browse/ES-22652" TargetMode="External"/><Relationship Id="rId333" Type="http://schemas.openxmlformats.org/officeDocument/2006/relationships/hyperlink" Target="https://bluetooth.atlassian.net/browse/ES-25021" TargetMode="External"/><Relationship Id="rId51" Type="http://schemas.openxmlformats.org/officeDocument/2006/relationships/hyperlink" Target="https://bluetooth.atlassian.net/browse/ES-24481" TargetMode="External"/><Relationship Id="rId72" Type="http://schemas.openxmlformats.org/officeDocument/2006/relationships/hyperlink" Target="https://bluetooth.atlassian.net/browse/ES-22642" TargetMode="External"/><Relationship Id="rId93" Type="http://schemas.openxmlformats.org/officeDocument/2006/relationships/hyperlink" Target="https://bluetooth.atlassian.net/browse/ES-24686" TargetMode="External"/><Relationship Id="rId189" Type="http://schemas.openxmlformats.org/officeDocument/2006/relationships/hyperlink" Target="https://bluetooth.atlassian.net/browse/ES-24199" TargetMode="External"/><Relationship Id="rId3" Type="http://schemas.openxmlformats.org/officeDocument/2006/relationships/hyperlink" Target="https://bluetooth.atlassian.net/browse/ES-25102" TargetMode="External"/><Relationship Id="rId214" Type="http://schemas.openxmlformats.org/officeDocument/2006/relationships/hyperlink" Target="https://bluetooth.atlassian.net/browse/ES-22658" TargetMode="External"/><Relationship Id="rId235" Type="http://schemas.openxmlformats.org/officeDocument/2006/relationships/hyperlink" Target="https://bluetooth.atlassian.net/browse/ES-22677" TargetMode="External"/><Relationship Id="rId256" Type="http://schemas.openxmlformats.org/officeDocument/2006/relationships/hyperlink" Target="https://bluetooth.atlassian.net/browse/ES-22561" TargetMode="External"/><Relationship Id="rId277" Type="http://schemas.openxmlformats.org/officeDocument/2006/relationships/hyperlink" Target="https://bluetooth.atlassian.net/browse/ES-23616" TargetMode="External"/><Relationship Id="rId298" Type="http://schemas.openxmlformats.org/officeDocument/2006/relationships/hyperlink" Target="https://bluetooth.atlassian.net/browse/ES-22556" TargetMode="External"/><Relationship Id="rId116" Type="http://schemas.openxmlformats.org/officeDocument/2006/relationships/hyperlink" Target="https://bluetooth.atlassian.net/browse/ES-23620" TargetMode="External"/><Relationship Id="rId137" Type="http://schemas.openxmlformats.org/officeDocument/2006/relationships/hyperlink" Target="https://bluetooth.atlassian.net/browse/ES-23578" TargetMode="External"/><Relationship Id="rId158" Type="http://schemas.openxmlformats.org/officeDocument/2006/relationships/hyperlink" Target="https://bluetooth.atlassian.net/browse/ES-22536" TargetMode="External"/><Relationship Id="rId302" Type="http://schemas.openxmlformats.org/officeDocument/2006/relationships/hyperlink" Target="https://bluetooth.atlassian.net/browse/ES-24308" TargetMode="External"/><Relationship Id="rId323" Type="http://schemas.openxmlformats.org/officeDocument/2006/relationships/hyperlink" Target="https://bluetooth.atlassian.net/browse/ES-17710" TargetMode="External"/><Relationship Id="rId344" Type="http://schemas.openxmlformats.org/officeDocument/2006/relationships/hyperlink" Target="https://bluetooth.atlassian.net/browse/ES-18534" TargetMode="External"/><Relationship Id="rId20" Type="http://schemas.openxmlformats.org/officeDocument/2006/relationships/hyperlink" Target="https://bluetooth.atlassian.net/browse/ES-24725" TargetMode="External"/><Relationship Id="rId41" Type="http://schemas.openxmlformats.org/officeDocument/2006/relationships/hyperlink" Target="https://bluetooth.atlassian.net/browse/ES-25205" TargetMode="External"/><Relationship Id="rId62" Type="http://schemas.openxmlformats.org/officeDocument/2006/relationships/hyperlink" Target="https://bluetooth.atlassian.net/browse/ES-24299" TargetMode="External"/><Relationship Id="rId83" Type="http://schemas.openxmlformats.org/officeDocument/2006/relationships/hyperlink" Target="https://bluetooth.atlassian.net/browse/ES-23469" TargetMode="External"/><Relationship Id="rId179" Type="http://schemas.openxmlformats.org/officeDocument/2006/relationships/hyperlink" Target="https://bluetooth.atlassian.net/browse/ES-23634" TargetMode="External"/><Relationship Id="rId190" Type="http://schemas.openxmlformats.org/officeDocument/2006/relationships/hyperlink" Target="https://bluetooth.atlassian.net/browse/ES-23537" TargetMode="External"/><Relationship Id="rId204" Type="http://schemas.openxmlformats.org/officeDocument/2006/relationships/hyperlink" Target="https://bluetooth.atlassian.net/browse/ES-23428" TargetMode="External"/><Relationship Id="rId225" Type="http://schemas.openxmlformats.org/officeDocument/2006/relationships/hyperlink" Target="https://bluetooth.atlassian.net/browse/ES-23242" TargetMode="External"/><Relationship Id="rId246" Type="http://schemas.openxmlformats.org/officeDocument/2006/relationships/hyperlink" Target="https://bluetooth.atlassian.net/browse/ES-23899" TargetMode="External"/><Relationship Id="rId267" Type="http://schemas.openxmlformats.org/officeDocument/2006/relationships/hyperlink" Target="https://bluetooth.atlassian.net/browse/ES-22895" TargetMode="External"/><Relationship Id="rId288" Type="http://schemas.openxmlformats.org/officeDocument/2006/relationships/hyperlink" Target="https://bluetooth.atlassian.net/browse/ES-18703" TargetMode="External"/><Relationship Id="rId106" Type="http://schemas.openxmlformats.org/officeDocument/2006/relationships/hyperlink" Target="https://bluetooth.atlassian.net/browse/ES-22397" TargetMode="External"/><Relationship Id="rId127" Type="http://schemas.openxmlformats.org/officeDocument/2006/relationships/hyperlink" Target="https://bluetooth.atlassian.net/browse/ES-23064" TargetMode="External"/><Relationship Id="rId313" Type="http://schemas.openxmlformats.org/officeDocument/2006/relationships/hyperlink" Target="https://bluetooth.atlassian.net/browse/ES-24461" TargetMode="External"/><Relationship Id="rId10" Type="http://schemas.openxmlformats.org/officeDocument/2006/relationships/hyperlink" Target="https://bluetooth.atlassian.net/browse/ES-24670" TargetMode="External"/><Relationship Id="rId31" Type="http://schemas.openxmlformats.org/officeDocument/2006/relationships/hyperlink" Target="https://bluetooth.atlassian.net/browse/ES-24028" TargetMode="External"/><Relationship Id="rId52" Type="http://schemas.openxmlformats.org/officeDocument/2006/relationships/hyperlink" Target="https://bluetooth.atlassian.net/browse/ES-22975" TargetMode="External"/><Relationship Id="rId73" Type="http://schemas.openxmlformats.org/officeDocument/2006/relationships/hyperlink" Target="https://bluetooth.atlassian.net/browse/ES-23009" TargetMode="External"/><Relationship Id="rId94" Type="http://schemas.openxmlformats.org/officeDocument/2006/relationships/hyperlink" Target="https://bluetooth.atlassian.net/browse/ES-22976" TargetMode="External"/><Relationship Id="rId148" Type="http://schemas.openxmlformats.org/officeDocument/2006/relationships/hyperlink" Target="https://bluetooth.atlassian.net/browse/ES-24217" TargetMode="External"/><Relationship Id="rId169" Type="http://schemas.openxmlformats.org/officeDocument/2006/relationships/hyperlink" Target="https://bluetooth.atlassian.net/browse/ES-24394" TargetMode="External"/><Relationship Id="rId334" Type="http://schemas.openxmlformats.org/officeDocument/2006/relationships/hyperlink" Target="https://bluetooth.atlassian.net/browse/ES-24284" TargetMode="External"/><Relationship Id="rId4" Type="http://schemas.openxmlformats.org/officeDocument/2006/relationships/hyperlink" Target="https://bluetooth.atlassian.net/browse/ES-23499" TargetMode="External"/><Relationship Id="rId180" Type="http://schemas.openxmlformats.org/officeDocument/2006/relationships/hyperlink" Target="https://bluetooth.atlassian.net/browse/ES-22538" TargetMode="External"/><Relationship Id="rId215" Type="http://schemas.openxmlformats.org/officeDocument/2006/relationships/hyperlink" Target="https://bluetooth.atlassian.net/browse/ES-22620" TargetMode="External"/><Relationship Id="rId236" Type="http://schemas.openxmlformats.org/officeDocument/2006/relationships/hyperlink" Target="https://bluetooth.atlassian.net/browse/ES-22342" TargetMode="External"/><Relationship Id="rId257" Type="http://schemas.openxmlformats.org/officeDocument/2006/relationships/hyperlink" Target="https://bluetooth.atlassian.net/browse/ES-22550" TargetMode="External"/><Relationship Id="rId278" Type="http://schemas.openxmlformats.org/officeDocument/2006/relationships/hyperlink" Target="https://bluetooth.atlassian.net/browse/ES-23295" TargetMode="External"/><Relationship Id="rId303" Type="http://schemas.openxmlformats.org/officeDocument/2006/relationships/hyperlink" Target="https://bluetooth.atlassian.net/browse/ES-22928" TargetMode="External"/><Relationship Id="rId42" Type="http://schemas.openxmlformats.org/officeDocument/2006/relationships/hyperlink" Target="https://bluetooth.atlassian.net/browse/ES-25027" TargetMode="External"/><Relationship Id="rId84" Type="http://schemas.openxmlformats.org/officeDocument/2006/relationships/hyperlink" Target="https://bluetooth.atlassian.net/browse/ES-25010" TargetMode="External"/><Relationship Id="rId138" Type="http://schemas.openxmlformats.org/officeDocument/2006/relationships/hyperlink" Target="https://bluetooth.atlassian.net/browse/ES-22926" TargetMode="External"/><Relationship Id="rId345" Type="http://schemas.openxmlformats.org/officeDocument/2006/relationships/hyperlink" Target="https://bluetooth.atlassian.net/browse/ES-11058" TargetMode="External"/><Relationship Id="rId191" Type="http://schemas.openxmlformats.org/officeDocument/2006/relationships/hyperlink" Target="https://bluetooth.atlassian.net/browse/ES-22894" TargetMode="External"/><Relationship Id="rId205" Type="http://schemas.openxmlformats.org/officeDocument/2006/relationships/hyperlink" Target="https://bluetooth.atlassian.net/browse/ES-23310" TargetMode="External"/><Relationship Id="rId247" Type="http://schemas.openxmlformats.org/officeDocument/2006/relationships/hyperlink" Target="https://bluetooth.atlassian.net/browse/ES-23690" TargetMode="External"/><Relationship Id="rId107" Type="http://schemas.openxmlformats.org/officeDocument/2006/relationships/hyperlink" Target="https://bluetooth.atlassian.net/browse/ES-23034" TargetMode="External"/><Relationship Id="rId289" Type="http://schemas.openxmlformats.org/officeDocument/2006/relationships/hyperlink" Target="https://bluetooth.atlassian.net/browse/ES-24590" TargetMode="External"/><Relationship Id="rId11" Type="http://schemas.openxmlformats.org/officeDocument/2006/relationships/hyperlink" Target="https://bluetooth.atlassian.net/browse/ES-23468" TargetMode="External"/><Relationship Id="rId53" Type="http://schemas.openxmlformats.org/officeDocument/2006/relationships/hyperlink" Target="https://bluetooth.atlassian.net/browse/ES-24673" TargetMode="External"/><Relationship Id="rId149" Type="http://schemas.openxmlformats.org/officeDocument/2006/relationships/hyperlink" Target="https://bluetooth.atlassian.net/browse/ES-23048" TargetMode="External"/><Relationship Id="rId314" Type="http://schemas.openxmlformats.org/officeDocument/2006/relationships/hyperlink" Target="https://bluetooth.atlassian.net/browse/ES-18960" TargetMode="External"/><Relationship Id="rId95" Type="http://schemas.openxmlformats.org/officeDocument/2006/relationships/hyperlink" Target="https://bluetooth.atlassian.net/browse/ES-22977" TargetMode="External"/><Relationship Id="rId160" Type="http://schemas.openxmlformats.org/officeDocument/2006/relationships/hyperlink" Target="https://bluetooth.atlassian.net/browse/ES-24762" TargetMode="External"/><Relationship Id="rId216" Type="http://schemas.openxmlformats.org/officeDocument/2006/relationships/hyperlink" Target="https://bluetooth.atlassian.net/browse/ES-22495" TargetMode="External"/><Relationship Id="rId258" Type="http://schemas.openxmlformats.org/officeDocument/2006/relationships/hyperlink" Target="https://bluetooth.atlassian.net/browse/ES-22547" TargetMode="External"/><Relationship Id="rId22" Type="http://schemas.openxmlformats.org/officeDocument/2006/relationships/hyperlink" Target="https://bluetooth.atlassian.net/browse/ES-24059" TargetMode="External"/><Relationship Id="rId64" Type="http://schemas.openxmlformats.org/officeDocument/2006/relationships/hyperlink" Target="https://bluetooth.atlassian.net/browse/ES-18402" TargetMode="External"/><Relationship Id="rId118" Type="http://schemas.openxmlformats.org/officeDocument/2006/relationships/hyperlink" Target="https://bluetooth.atlassian.net/browse/ES-23624" TargetMode="External"/><Relationship Id="rId325" Type="http://schemas.openxmlformats.org/officeDocument/2006/relationships/hyperlink" Target="https://bluetooth.atlassian.net/browse/ES-17250" TargetMode="External"/><Relationship Id="rId171" Type="http://schemas.openxmlformats.org/officeDocument/2006/relationships/hyperlink" Target="https://bluetooth.atlassian.net/browse/ES-24058" TargetMode="External"/><Relationship Id="rId227" Type="http://schemas.openxmlformats.org/officeDocument/2006/relationships/hyperlink" Target="https://bluetooth.atlassian.net/browse/ES-23166" TargetMode="External"/><Relationship Id="rId269" Type="http://schemas.openxmlformats.org/officeDocument/2006/relationships/hyperlink" Target="https://bluetooth.atlassian.net/browse/ES-24573" TargetMode="External"/><Relationship Id="rId33" Type="http://schemas.openxmlformats.org/officeDocument/2006/relationships/hyperlink" Target="https://bluetooth.atlassian.net/browse/ES-23118" TargetMode="External"/><Relationship Id="rId129" Type="http://schemas.openxmlformats.org/officeDocument/2006/relationships/hyperlink" Target="https://bluetooth.atlassian.net/browse/ES-15466" TargetMode="External"/><Relationship Id="rId280" Type="http://schemas.openxmlformats.org/officeDocument/2006/relationships/hyperlink" Target="https://bluetooth.atlassian.net/browse/ES-23069" TargetMode="External"/><Relationship Id="rId336" Type="http://schemas.openxmlformats.org/officeDocument/2006/relationships/hyperlink" Target="https://bluetooth.atlassian.net/browse/ES-23983" TargetMode="External"/><Relationship Id="rId75" Type="http://schemas.openxmlformats.org/officeDocument/2006/relationships/hyperlink" Target="https://bluetooth.atlassian.net/browse/ES-23119" TargetMode="External"/><Relationship Id="rId140" Type="http://schemas.openxmlformats.org/officeDocument/2006/relationships/hyperlink" Target="https://bluetooth.atlassian.net/browse/ES-22490" TargetMode="External"/><Relationship Id="rId182" Type="http://schemas.openxmlformats.org/officeDocument/2006/relationships/hyperlink" Target="https://bluetooth.atlassian.net/browse/ES-24889" TargetMode="External"/><Relationship Id="rId6" Type="http://schemas.openxmlformats.org/officeDocument/2006/relationships/hyperlink" Target="https://bluetooth.atlassian.net/browse/ES-22388" TargetMode="External"/><Relationship Id="rId238" Type="http://schemas.openxmlformats.org/officeDocument/2006/relationships/hyperlink" Target="https://bluetooth.atlassian.net/browse/ES-25478" TargetMode="External"/><Relationship Id="rId291" Type="http://schemas.openxmlformats.org/officeDocument/2006/relationships/hyperlink" Target="https://bluetooth.atlassian.net/browse/ES-25513" TargetMode="External"/><Relationship Id="rId305" Type="http://schemas.openxmlformats.org/officeDocument/2006/relationships/hyperlink" Target="https://bluetooth.atlassian.net/browse/ES-22584" TargetMode="External"/><Relationship Id="rId347" Type="http://schemas.openxmlformats.org/officeDocument/2006/relationships/hyperlink" Target="https://bluetooth.atlassian.net/browse/ES-22525" TargetMode="External"/><Relationship Id="rId44" Type="http://schemas.openxmlformats.org/officeDocument/2006/relationships/hyperlink" Target="https://bluetooth.atlassian.net/browse/ES-24027" TargetMode="External"/><Relationship Id="rId86" Type="http://schemas.openxmlformats.org/officeDocument/2006/relationships/hyperlink" Target="https://bluetooth.atlassian.net/browse/ES-24417" TargetMode="External"/><Relationship Id="rId151" Type="http://schemas.openxmlformats.org/officeDocument/2006/relationships/hyperlink" Target="https://bluetooth.atlassian.net/browse/ES-22594" TargetMode="External"/><Relationship Id="rId193" Type="http://schemas.openxmlformats.org/officeDocument/2006/relationships/hyperlink" Target="https://bluetooth.atlassian.net/browse/ES-23700" TargetMode="External"/><Relationship Id="rId207" Type="http://schemas.openxmlformats.org/officeDocument/2006/relationships/hyperlink" Target="https://bluetooth.atlassian.net/browse/ES-23100" TargetMode="External"/><Relationship Id="rId249" Type="http://schemas.openxmlformats.org/officeDocument/2006/relationships/hyperlink" Target="https://bluetooth.atlassian.net/browse/ES-22939" TargetMode="External"/><Relationship Id="rId13" Type="http://schemas.openxmlformats.org/officeDocument/2006/relationships/hyperlink" Target="https://bluetooth.atlassian.net/browse/ES-24577" TargetMode="External"/><Relationship Id="rId109" Type="http://schemas.openxmlformats.org/officeDocument/2006/relationships/hyperlink" Target="https://bluetooth.atlassian.net/browse/ES-23135" TargetMode="External"/><Relationship Id="rId260" Type="http://schemas.openxmlformats.org/officeDocument/2006/relationships/hyperlink" Target="https://bluetooth.atlassian.net/browse/ES-22447" TargetMode="External"/><Relationship Id="rId316" Type="http://schemas.openxmlformats.org/officeDocument/2006/relationships/hyperlink" Target="https://bluetooth.atlassian.net/browse/ES-24032" TargetMode="External"/><Relationship Id="rId55" Type="http://schemas.openxmlformats.org/officeDocument/2006/relationships/hyperlink" Target="https://bluetooth.atlassian.net/browse/ES-23560" TargetMode="External"/><Relationship Id="rId97" Type="http://schemas.openxmlformats.org/officeDocument/2006/relationships/hyperlink" Target="https://bluetooth.atlassian.net/browse/ES-24726" TargetMode="External"/><Relationship Id="rId120" Type="http://schemas.openxmlformats.org/officeDocument/2006/relationships/hyperlink" Target="https://bluetooth.atlassian.net/browse/ES-23549" TargetMode="External"/><Relationship Id="rId162" Type="http://schemas.openxmlformats.org/officeDocument/2006/relationships/hyperlink" Target="https://bluetooth.atlassian.net/browse/ES-22589" TargetMode="External"/><Relationship Id="rId218" Type="http://schemas.openxmlformats.org/officeDocument/2006/relationships/hyperlink" Target="https://bluetooth.atlassian.net/browse/ES-22353" TargetMode="External"/><Relationship Id="rId271" Type="http://schemas.openxmlformats.org/officeDocument/2006/relationships/hyperlink" Target="https://bluetooth.atlassian.net/browse/ES-23050" TargetMode="External"/><Relationship Id="rId24" Type="http://schemas.openxmlformats.org/officeDocument/2006/relationships/hyperlink" Target="https://bluetooth.atlassian.net/browse/ES-24271" TargetMode="External"/><Relationship Id="rId66" Type="http://schemas.openxmlformats.org/officeDocument/2006/relationships/hyperlink" Target="https://bluetooth.atlassian.net/browse/ES-24878" TargetMode="External"/><Relationship Id="rId131" Type="http://schemas.openxmlformats.org/officeDocument/2006/relationships/hyperlink" Target="https://bluetooth.atlassian.net/browse/ES-24402" TargetMode="External"/><Relationship Id="rId327" Type="http://schemas.openxmlformats.org/officeDocument/2006/relationships/hyperlink" Target="https://bluetooth.atlassian.net/browse/ES-17027" TargetMode="External"/><Relationship Id="rId173" Type="http://schemas.openxmlformats.org/officeDocument/2006/relationships/hyperlink" Target="https://bluetooth.atlassian.net/browse/ES-23303" TargetMode="External"/><Relationship Id="rId229" Type="http://schemas.openxmlformats.org/officeDocument/2006/relationships/hyperlink" Target="https://bluetooth.atlassian.net/browse/ES-23129" TargetMode="External"/><Relationship Id="rId240" Type="http://schemas.openxmlformats.org/officeDocument/2006/relationships/hyperlink" Target="https://bluetooth.atlassian.net/browse/ES-25384"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http://www.bluetooth.org/tse/errata_view.cfm?errata_id=16083" TargetMode="External"/><Relationship Id="rId7"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6" Type="http://schemas.openxmlformats.org/officeDocument/2006/relationships/hyperlink" Target="https://www.bluetooth.org/tse/errata_view.cfm?errata_id=16928" TargetMode="External"/><Relationship Id="rId5" Type="http://schemas.openxmlformats.org/officeDocument/2006/relationships/hyperlink" Target="https://www.bluetooth.org/tse/errata_view.cfm?errata_id=15177" TargetMode="External"/><Relationship Id="rId4" Type="http://schemas.openxmlformats.org/officeDocument/2006/relationships/hyperlink" Target="https://bluetooth.atlassian.net/browse/ES-15965"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1A0C7"/>
  </sheetPr>
  <dimension ref="A1:F25"/>
  <sheetViews>
    <sheetView tabSelected="1" zoomScaleNormal="100" workbookViewId="0"/>
  </sheetViews>
  <sheetFormatPr defaultColWidth="11.40625" defaultRowHeight="13" x14ac:dyDescent="0.6"/>
  <cols>
    <col min="1" max="2" width="16.54296875" style="10" customWidth="1"/>
    <col min="3" max="3" width="66.86328125" style="10" customWidth="1"/>
    <col min="4" max="6" width="16.54296875" style="10" customWidth="1"/>
    <col min="7" max="16384" width="11.40625" style="10"/>
  </cols>
  <sheetData>
    <row r="1" spans="1:6" ht="23" x14ac:dyDescent="1">
      <c r="A1" s="9" t="s">
        <v>651</v>
      </c>
    </row>
    <row r="2" spans="1:6" ht="18" x14ac:dyDescent="0.8">
      <c r="A2" s="11" t="s">
        <v>0</v>
      </c>
      <c r="B2" s="12"/>
      <c r="C2" s="12"/>
    </row>
    <row r="3" spans="1:6" x14ac:dyDescent="0.6">
      <c r="A3" s="13"/>
    </row>
    <row r="4" spans="1:6" ht="41.25" customHeight="1" x14ac:dyDescent="0.6">
      <c r="A4" s="152" t="s">
        <v>644</v>
      </c>
      <c r="B4" s="152"/>
      <c r="C4" s="152"/>
    </row>
    <row r="5" spans="1:6" ht="13.75" thickBot="1" x14ac:dyDescent="0.75">
      <c r="A5" s="54"/>
      <c r="B5" s="54"/>
      <c r="C5" s="54"/>
    </row>
    <row r="6" spans="1:6" ht="13.75" thickBot="1" x14ac:dyDescent="0.75">
      <c r="A6" s="55" t="s">
        <v>1235</v>
      </c>
      <c r="B6" s="56"/>
      <c r="C6" s="57"/>
      <c r="D6" s="57"/>
      <c r="E6" s="57"/>
      <c r="F6" s="58"/>
    </row>
    <row r="7" spans="1:6" x14ac:dyDescent="0.6">
      <c r="A7" s="59"/>
      <c r="B7" s="153" t="s">
        <v>1236</v>
      </c>
      <c r="C7" s="154"/>
      <c r="D7" s="154"/>
      <c r="E7" s="154"/>
      <c r="F7" s="155"/>
    </row>
    <row r="8" spans="1:6" x14ac:dyDescent="0.6">
      <c r="A8" s="60"/>
      <c r="B8" s="156" t="s">
        <v>1237</v>
      </c>
      <c r="C8" s="157"/>
      <c r="D8" s="157"/>
      <c r="E8" s="157"/>
      <c r="F8" s="158"/>
    </row>
    <row r="9" spans="1:6" ht="12.75" customHeight="1" thickBot="1" x14ac:dyDescent="0.75">
      <c r="A9" s="61"/>
      <c r="B9" s="159" t="s">
        <v>1238</v>
      </c>
      <c r="C9" s="160"/>
      <c r="D9" s="160"/>
      <c r="E9" s="160"/>
      <c r="F9" s="161"/>
    </row>
    <row r="11" spans="1:6" ht="15.5" x14ac:dyDescent="0.6">
      <c r="A11" s="62" t="s">
        <v>1239</v>
      </c>
    </row>
    <row r="13" spans="1:6" x14ac:dyDescent="0.6">
      <c r="A13" s="10" t="s">
        <v>645</v>
      </c>
      <c r="B13" s="53">
        <v>45783</v>
      </c>
    </row>
    <row r="15" spans="1:6" ht="18" x14ac:dyDescent="0.6">
      <c r="A15" s="14" t="s">
        <v>646</v>
      </c>
      <c r="B15" s="15"/>
      <c r="C15" s="16"/>
      <c r="D15" s="17"/>
    </row>
    <row r="16" spans="1:6" ht="13.75" thickBot="1" x14ac:dyDescent="0.75">
      <c r="A16" s="18"/>
      <c r="B16" s="19"/>
      <c r="C16" s="20"/>
      <c r="D16" s="18"/>
    </row>
    <row r="17" spans="1:4" x14ac:dyDescent="0.6">
      <c r="A17" s="21" t="s">
        <v>647</v>
      </c>
      <c r="B17" s="22" t="s">
        <v>648</v>
      </c>
      <c r="C17" s="32" t="s">
        <v>649</v>
      </c>
    </row>
    <row r="18" spans="1:4" x14ac:dyDescent="0.6">
      <c r="A18" s="64" t="s">
        <v>650</v>
      </c>
      <c r="B18" s="65">
        <v>43845</v>
      </c>
      <c r="C18" s="66" t="s">
        <v>777</v>
      </c>
    </row>
    <row r="19" spans="1:4" ht="26" x14ac:dyDescent="0.6">
      <c r="A19" s="67" t="s">
        <v>652</v>
      </c>
      <c r="B19" s="65">
        <v>44390</v>
      </c>
      <c r="C19" s="66" t="s">
        <v>776</v>
      </c>
      <c r="D19" s="18"/>
    </row>
    <row r="20" spans="1:4" ht="12.75" customHeight="1" x14ac:dyDescent="0.6">
      <c r="A20" s="68" t="s">
        <v>778</v>
      </c>
      <c r="B20" s="69">
        <v>44586</v>
      </c>
      <c r="C20" s="70" t="s">
        <v>779</v>
      </c>
    </row>
    <row r="21" spans="1:4" ht="39" x14ac:dyDescent="0.6">
      <c r="A21" s="71" t="s">
        <v>784</v>
      </c>
      <c r="B21" s="72">
        <v>44964</v>
      </c>
      <c r="C21" s="73" t="s">
        <v>785</v>
      </c>
    </row>
    <row r="22" spans="1:4" ht="26" x14ac:dyDescent="0.6">
      <c r="A22" s="117" t="s">
        <v>1240</v>
      </c>
      <c r="B22" s="72">
        <v>45106</v>
      </c>
      <c r="C22" s="73" t="s">
        <v>1241</v>
      </c>
    </row>
    <row r="23" spans="1:4" ht="26" x14ac:dyDescent="0.6">
      <c r="A23" s="141" t="s">
        <v>1243</v>
      </c>
      <c r="B23" s="142">
        <v>45474</v>
      </c>
      <c r="C23" s="143" t="s">
        <v>1244</v>
      </c>
    </row>
    <row r="24" spans="1:4" ht="25.5" customHeight="1" x14ac:dyDescent="0.6">
      <c r="A24" s="141" t="s">
        <v>1245</v>
      </c>
      <c r="B24" s="142">
        <v>45539</v>
      </c>
      <c r="C24" s="143" t="s">
        <v>1246</v>
      </c>
    </row>
    <row r="25" spans="1:4" ht="26.75" thickBot="1" x14ac:dyDescent="0.75">
      <c r="A25" s="138" t="s">
        <v>1762</v>
      </c>
      <c r="B25" s="139">
        <v>45783</v>
      </c>
      <c r="C25" s="140" t="s">
        <v>1763</v>
      </c>
    </row>
  </sheetData>
  <mergeCells count="4">
    <mergeCell ref="A4:C4"/>
    <mergeCell ref="B7:F7"/>
    <mergeCell ref="B8:F8"/>
    <mergeCell ref="B9:F9"/>
  </mergeCells>
  <pageMargins left="0.74791666666666667" right="0.74791666666666667" top="0.98402777777777783" bottom="0.98402777777777783" header="0.51180555555555562" footer="0.51180555555555562"/>
  <pageSetup paperSize="9"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FC2716-DBE0-4E55-901D-B8C775440E81}">
  <sheetPr>
    <tabColor rgb="FFB1A0C7"/>
  </sheetPr>
  <dimension ref="A1:AC112"/>
  <sheetViews>
    <sheetView workbookViewId="0">
      <selection sqref="A1:H2"/>
    </sheetView>
  </sheetViews>
  <sheetFormatPr defaultColWidth="12" defaultRowHeight="16" x14ac:dyDescent="0.8"/>
  <cols>
    <col min="1" max="1" width="13.1796875" style="144" customWidth="1"/>
    <col min="2" max="2" width="47.36328125" style="144" bestFit="1" customWidth="1"/>
    <col min="3" max="3" width="97.7265625" style="145" customWidth="1"/>
    <col min="4" max="4" width="21.6796875" style="145" customWidth="1"/>
    <col min="5" max="5" width="19.1796875" style="144" bestFit="1" customWidth="1"/>
    <col min="6" max="6" width="19.54296875" style="144" customWidth="1"/>
    <col min="7" max="7" width="12" style="144"/>
    <col min="8" max="8" width="49" style="144" bestFit="1" customWidth="1"/>
    <col min="9" max="16384" width="12" style="144"/>
  </cols>
  <sheetData>
    <row r="1" spans="1:29" x14ac:dyDescent="0.8">
      <c r="A1" s="162" t="s">
        <v>1766</v>
      </c>
      <c r="B1" s="162"/>
      <c r="C1" s="162"/>
      <c r="D1" s="162"/>
      <c r="E1" s="162"/>
      <c r="F1" s="162"/>
      <c r="G1" s="162"/>
      <c r="H1" s="162"/>
      <c r="I1" s="146"/>
      <c r="J1" s="146"/>
      <c r="K1" s="146"/>
      <c r="L1" s="146"/>
      <c r="M1" s="146"/>
      <c r="N1" s="146"/>
      <c r="O1" s="146"/>
      <c r="P1" s="146"/>
      <c r="Q1" s="146"/>
      <c r="R1" s="146"/>
      <c r="S1" s="146"/>
      <c r="T1" s="146"/>
      <c r="U1" s="146"/>
      <c r="V1" s="146"/>
      <c r="W1" s="146"/>
      <c r="X1" s="146"/>
      <c r="Y1" s="146"/>
      <c r="Z1" s="146"/>
      <c r="AA1" s="146"/>
      <c r="AB1" s="146"/>
      <c r="AC1" s="146"/>
    </row>
    <row r="2" spans="1:29" ht="31.75" customHeight="1" x14ac:dyDescent="0.8">
      <c r="A2" s="163"/>
      <c r="B2" s="163"/>
      <c r="C2" s="163"/>
      <c r="D2" s="163"/>
      <c r="E2" s="163"/>
      <c r="F2" s="163"/>
      <c r="G2" s="163"/>
      <c r="H2" s="163"/>
      <c r="I2" s="146"/>
      <c r="J2" s="146"/>
      <c r="K2" s="146"/>
      <c r="L2" s="146"/>
      <c r="M2" s="146"/>
      <c r="N2" s="146"/>
      <c r="O2" s="146"/>
      <c r="P2" s="146"/>
      <c r="Q2" s="146"/>
      <c r="R2" s="146"/>
      <c r="S2" s="146"/>
      <c r="T2" s="146"/>
      <c r="U2" s="146"/>
      <c r="V2" s="146"/>
      <c r="W2" s="146"/>
      <c r="X2" s="146"/>
      <c r="Y2" s="146"/>
      <c r="Z2" s="146"/>
      <c r="AA2" s="146"/>
      <c r="AB2" s="146"/>
      <c r="AC2" s="146"/>
    </row>
    <row r="3" spans="1:29" ht="17.149999999999999" customHeight="1" x14ac:dyDescent="0.8">
      <c r="A3" s="144" t="s">
        <v>775</v>
      </c>
      <c r="B3" s="144" t="s">
        <v>9</v>
      </c>
      <c r="C3" s="145" t="s">
        <v>3</v>
      </c>
      <c r="D3" s="145" t="s">
        <v>0</v>
      </c>
      <c r="E3" s="144" t="s">
        <v>314</v>
      </c>
      <c r="F3" s="144" t="s">
        <v>788</v>
      </c>
      <c r="G3" s="144" t="s">
        <v>789</v>
      </c>
      <c r="H3" s="144" t="s">
        <v>337</v>
      </c>
    </row>
    <row r="4" spans="1:29" ht="17.149999999999999" customHeight="1" x14ac:dyDescent="0.8">
      <c r="A4" s="147" t="str">
        <f>HYPERLINK("http://bluetooth.atlassian.net/browse/ES-26264", "ES-26264")</f>
        <v>ES-26264</v>
      </c>
      <c r="B4" s="148" t="s">
        <v>1761</v>
      </c>
      <c r="C4" s="149" t="s">
        <v>1760</v>
      </c>
      <c r="D4" s="149" t="s">
        <v>2</v>
      </c>
      <c r="E4" s="148" t="s">
        <v>304</v>
      </c>
      <c r="F4" s="148"/>
      <c r="G4" s="148"/>
      <c r="H4" s="148"/>
    </row>
    <row r="5" spans="1:29" x14ac:dyDescent="0.8">
      <c r="A5" s="147" t="str">
        <f>HYPERLINK("http://bluetooth.atlassian.net/browse/ES-26099", "ES-26099")</f>
        <v>ES-26099</v>
      </c>
      <c r="B5" s="148" t="s">
        <v>1758</v>
      </c>
      <c r="C5" s="149" t="s">
        <v>1759</v>
      </c>
      <c r="D5" s="149" t="s">
        <v>2</v>
      </c>
      <c r="E5" s="148" t="s">
        <v>1249</v>
      </c>
      <c r="F5" s="148"/>
      <c r="G5" s="148"/>
      <c r="H5" s="148"/>
    </row>
    <row r="6" spans="1:29" x14ac:dyDescent="0.8">
      <c r="A6" s="147" t="str">
        <f>HYPERLINK("http://bluetooth.atlassian.net/browse/ES-19064", "ES-19064")</f>
        <v>ES-19064</v>
      </c>
      <c r="B6" s="148" t="s">
        <v>1758</v>
      </c>
      <c r="C6" s="149" t="s">
        <v>1757</v>
      </c>
      <c r="D6" s="149" t="s">
        <v>2</v>
      </c>
      <c r="E6" s="148" t="s">
        <v>304</v>
      </c>
      <c r="F6" s="148"/>
      <c r="G6" s="148"/>
      <c r="H6" s="148"/>
    </row>
    <row r="7" spans="1:29" x14ac:dyDescent="0.8">
      <c r="A7" s="147" t="str">
        <f>HYPERLINK("http://bluetooth.atlassian.net/browse/ES-25625", "ES-25625")</f>
        <v>ES-25625</v>
      </c>
      <c r="B7" s="148" t="s">
        <v>1755</v>
      </c>
      <c r="C7" s="149" t="s">
        <v>1756</v>
      </c>
      <c r="D7" s="149" t="s">
        <v>2</v>
      </c>
      <c r="E7" s="148" t="s">
        <v>1249</v>
      </c>
      <c r="F7" s="148"/>
      <c r="G7" s="148"/>
      <c r="H7" s="148"/>
    </row>
    <row r="8" spans="1:29" x14ac:dyDescent="0.8">
      <c r="A8" s="147" t="str">
        <f>HYPERLINK("http://bluetooth.atlassian.net/browse/ES-26381", "ES-26381")</f>
        <v>ES-26381</v>
      </c>
      <c r="B8" s="148" t="s">
        <v>1755</v>
      </c>
      <c r="C8" s="149" t="s">
        <v>1754</v>
      </c>
      <c r="D8" s="149" t="s">
        <v>2</v>
      </c>
      <c r="E8" s="148" t="s">
        <v>1249</v>
      </c>
      <c r="F8" s="148"/>
      <c r="G8" s="148"/>
      <c r="H8" s="148"/>
    </row>
    <row r="9" spans="1:29" x14ac:dyDescent="0.8">
      <c r="A9" s="147" t="str">
        <f>HYPERLINK("http://bluetooth.atlassian.net/browse/ES-26133", "ES-26133")</f>
        <v>ES-26133</v>
      </c>
      <c r="B9" s="148" t="s">
        <v>1753</v>
      </c>
      <c r="C9" s="149" t="s">
        <v>1752</v>
      </c>
      <c r="D9" s="149" t="s">
        <v>2</v>
      </c>
      <c r="E9" s="148" t="s">
        <v>304</v>
      </c>
      <c r="F9" s="148"/>
      <c r="G9" s="148"/>
      <c r="H9" s="148"/>
    </row>
    <row r="10" spans="1:29" x14ac:dyDescent="0.8">
      <c r="A10" s="147" t="str">
        <f>HYPERLINK("http://bluetooth.atlassian.net/browse/ES-25832", "ES-25832")</f>
        <v>ES-25832</v>
      </c>
      <c r="B10" s="148" t="s">
        <v>1748</v>
      </c>
      <c r="C10" s="149" t="s">
        <v>1751</v>
      </c>
      <c r="D10" s="149" t="s">
        <v>2</v>
      </c>
      <c r="E10" s="148" t="s">
        <v>1249</v>
      </c>
      <c r="F10" s="148"/>
      <c r="G10" s="147"/>
      <c r="H10" s="148"/>
    </row>
    <row r="11" spans="1:29" x14ac:dyDescent="0.8">
      <c r="A11" s="147" t="str">
        <f>HYPERLINK("http://bluetooth.atlassian.net/browse/ES-24460", "ES-24460")</f>
        <v>ES-24460</v>
      </c>
      <c r="B11" s="148" t="s">
        <v>1748</v>
      </c>
      <c r="C11" s="149" t="s">
        <v>1750</v>
      </c>
      <c r="D11" s="151" t="s">
        <v>1266</v>
      </c>
      <c r="E11" s="148" t="s">
        <v>1261</v>
      </c>
      <c r="F11" s="148">
        <v>2</v>
      </c>
      <c r="G11" s="147" t="str">
        <f>HYPERLINK("http://bluetooth.atlassian.net/browse/ES-26298", "ES-26298")</f>
        <v>ES-26298</v>
      </c>
      <c r="H11" s="148" t="s">
        <v>1620</v>
      </c>
    </row>
    <row r="12" spans="1:29" x14ac:dyDescent="0.8">
      <c r="A12" s="147" t="str">
        <f>HYPERLINK("http://bluetooth.atlassian.net/browse/ES-17738", "ES-17738")</f>
        <v>ES-17738</v>
      </c>
      <c r="B12" s="148" t="s">
        <v>1748</v>
      </c>
      <c r="C12" s="149" t="s">
        <v>1749</v>
      </c>
      <c r="D12" s="151" t="s">
        <v>1266</v>
      </c>
      <c r="E12" s="148" t="s">
        <v>1272</v>
      </c>
      <c r="F12" s="148">
        <v>4</v>
      </c>
      <c r="G12" s="147" t="str">
        <f>HYPERLINK("http://bluetooth.atlassian.net/browse/ES-26257", "ES-26257")</f>
        <v>ES-26257</v>
      </c>
      <c r="H12" s="148" t="s">
        <v>1614</v>
      </c>
    </row>
    <row r="13" spans="1:29" x14ac:dyDescent="0.8">
      <c r="A13" s="147" t="str">
        <f>HYPERLINK("http://bluetooth.atlassian.net/browse/ES-25833", "ES-25833")</f>
        <v>ES-25833</v>
      </c>
      <c r="B13" s="148" t="s">
        <v>1748</v>
      </c>
      <c r="C13" s="149" t="s">
        <v>1747</v>
      </c>
      <c r="D13" s="151" t="s">
        <v>1266</v>
      </c>
      <c r="E13" s="148" t="s">
        <v>304</v>
      </c>
      <c r="F13" s="148">
        <v>1</v>
      </c>
      <c r="G13" s="147" t="str">
        <f>HYPERLINK("http://bluetooth.atlassian.net/browse/ES-26785", "ES-26785")</f>
        <v>ES-26785</v>
      </c>
      <c r="H13" s="148" t="s">
        <v>1614</v>
      </c>
    </row>
    <row r="14" spans="1:29" x14ac:dyDescent="0.8">
      <c r="A14" s="147" t="str">
        <f>HYPERLINK("http://bluetooth.atlassian.net/browse/ES-25394", "ES-25394")</f>
        <v>ES-25394</v>
      </c>
      <c r="B14" s="148" t="s">
        <v>1745</v>
      </c>
      <c r="C14" s="149" t="s">
        <v>1746</v>
      </c>
      <c r="D14" s="149" t="s">
        <v>2</v>
      </c>
      <c r="E14" s="148" t="s">
        <v>1249</v>
      </c>
      <c r="F14" s="148"/>
      <c r="G14" s="147"/>
      <c r="H14" s="148"/>
    </row>
    <row r="15" spans="1:29" x14ac:dyDescent="0.8">
      <c r="A15" s="147" t="str">
        <f>HYPERLINK("http://bluetooth.atlassian.net/browse/ES-25667", "ES-25667")</f>
        <v>ES-25667</v>
      </c>
      <c r="B15" s="148" t="s">
        <v>1745</v>
      </c>
      <c r="C15" s="149" t="s">
        <v>1744</v>
      </c>
      <c r="D15" s="149" t="s">
        <v>2</v>
      </c>
      <c r="E15" s="148" t="s">
        <v>1249</v>
      </c>
      <c r="F15" s="148"/>
      <c r="G15" s="147"/>
      <c r="H15" s="148"/>
    </row>
    <row r="16" spans="1:29" ht="27" x14ac:dyDescent="0.8">
      <c r="A16" s="147" t="str">
        <f>HYPERLINK("http://bluetooth.atlassian.net/browse/ES-24555", "ES-24555")</f>
        <v>ES-24555</v>
      </c>
      <c r="B16" s="148" t="s">
        <v>1741</v>
      </c>
      <c r="C16" s="149" t="s">
        <v>1743</v>
      </c>
      <c r="D16" s="149" t="s">
        <v>2</v>
      </c>
      <c r="E16" s="148" t="s">
        <v>1249</v>
      </c>
      <c r="F16" s="148"/>
      <c r="G16" s="147"/>
      <c r="H16" s="148"/>
    </row>
    <row r="17" spans="1:8" x14ac:dyDescent="0.8">
      <c r="A17" s="147" t="str">
        <f>HYPERLINK("http://bluetooth.atlassian.net/browse/ES-25439", "ES-25439")</f>
        <v>ES-25439</v>
      </c>
      <c r="B17" s="148" t="s">
        <v>1741</v>
      </c>
      <c r="C17" s="149" t="s">
        <v>1742</v>
      </c>
      <c r="D17" s="149" t="s">
        <v>2</v>
      </c>
      <c r="E17" s="148" t="s">
        <v>1261</v>
      </c>
      <c r="F17" s="148"/>
      <c r="G17" s="147"/>
      <c r="H17" s="148"/>
    </row>
    <row r="18" spans="1:8" x14ac:dyDescent="0.8">
      <c r="A18" s="147" t="str">
        <f>HYPERLINK("http://bluetooth.atlassian.net/browse/ES-26664", "ES-26664")</f>
        <v>ES-26664</v>
      </c>
      <c r="B18" s="148" t="s">
        <v>1741</v>
      </c>
      <c r="C18" s="149" t="s">
        <v>1740</v>
      </c>
      <c r="D18" s="149" t="s">
        <v>2</v>
      </c>
      <c r="E18" s="148" t="s">
        <v>304</v>
      </c>
      <c r="F18" s="148"/>
      <c r="G18" s="147"/>
      <c r="H18" s="148"/>
    </row>
    <row r="19" spans="1:8" x14ac:dyDescent="0.8">
      <c r="A19" s="147" t="str">
        <f>HYPERLINK("http://bluetooth.atlassian.net/browse/ES-19323", "ES-19323")</f>
        <v>ES-19323</v>
      </c>
      <c r="B19" s="148" t="s">
        <v>1730</v>
      </c>
      <c r="C19" s="149" t="s">
        <v>1739</v>
      </c>
      <c r="D19" s="151" t="s">
        <v>1266</v>
      </c>
      <c r="E19" s="148" t="s">
        <v>1249</v>
      </c>
      <c r="F19" s="148">
        <v>2</v>
      </c>
      <c r="G19" s="147" t="str">
        <f>HYPERLINK("http://bluetooth.atlassian.net/browse/ES-18571", "ES-18571")</f>
        <v>ES-18571</v>
      </c>
      <c r="H19" s="148" t="s">
        <v>1614</v>
      </c>
    </row>
    <row r="20" spans="1:8" ht="40" x14ac:dyDescent="0.8">
      <c r="A20" s="147" t="str">
        <f>HYPERLINK("http://bluetooth.atlassian.net/browse/ES-24891", "ES-24891")</f>
        <v>ES-24891</v>
      </c>
      <c r="B20" s="148" t="s">
        <v>1730</v>
      </c>
      <c r="C20" s="149" t="s">
        <v>1738</v>
      </c>
      <c r="D20" s="151" t="s">
        <v>1255</v>
      </c>
      <c r="E20" s="148" t="s">
        <v>1249</v>
      </c>
      <c r="F20" s="149" t="s">
        <v>1737</v>
      </c>
      <c r="G20" s="149" t="s">
        <v>1736</v>
      </c>
      <c r="H20" s="149" t="s">
        <v>1735</v>
      </c>
    </row>
    <row r="21" spans="1:8" x14ac:dyDescent="0.8">
      <c r="A21" s="147" t="str">
        <f>HYPERLINK("http://bluetooth.atlassian.net/browse/ES-25255", "ES-25255")</f>
        <v>ES-25255</v>
      </c>
      <c r="B21" s="148" t="s">
        <v>1730</v>
      </c>
      <c r="C21" s="149" t="s">
        <v>1734</v>
      </c>
      <c r="D21" s="151" t="s">
        <v>1266</v>
      </c>
      <c r="E21" s="148" t="s">
        <v>1249</v>
      </c>
      <c r="F21" s="148">
        <v>2</v>
      </c>
      <c r="G21" s="147" t="str">
        <f>HYPERLINK("http://bluetooth.atlassian.net/browse/ES-25608", "ES-25608")</f>
        <v>ES-25608</v>
      </c>
      <c r="H21" s="148" t="s">
        <v>1614</v>
      </c>
    </row>
    <row r="22" spans="1:8" x14ac:dyDescent="0.8">
      <c r="A22" s="147" t="str">
        <f>HYPERLINK("http://bluetooth.atlassian.net/browse/ES-18947", "ES-18947")</f>
        <v>ES-18947</v>
      </c>
      <c r="B22" s="148" t="s">
        <v>1730</v>
      </c>
      <c r="C22" s="149" t="s">
        <v>1733</v>
      </c>
      <c r="D22" s="149" t="s">
        <v>2</v>
      </c>
      <c r="E22" s="148" t="s">
        <v>1261</v>
      </c>
      <c r="F22" s="148"/>
      <c r="G22" s="148"/>
      <c r="H22" s="148"/>
    </row>
    <row r="23" spans="1:8" x14ac:dyDescent="0.8">
      <c r="A23" s="147" t="str">
        <f>HYPERLINK("http://bluetooth.atlassian.net/browse/ES-19226", "ES-19226")</f>
        <v>ES-19226</v>
      </c>
      <c r="B23" s="148" t="s">
        <v>1730</v>
      </c>
      <c r="C23" s="149" t="s">
        <v>1732</v>
      </c>
      <c r="D23" s="149" t="s">
        <v>2</v>
      </c>
      <c r="E23" s="148" t="s">
        <v>1261</v>
      </c>
      <c r="F23" s="148"/>
      <c r="G23" s="148"/>
      <c r="H23" s="148"/>
    </row>
    <row r="24" spans="1:8" x14ac:dyDescent="0.8">
      <c r="A24" s="147" t="str">
        <f>HYPERLINK("http://bluetooth.atlassian.net/browse/ES-25458", "ES-25458")</f>
        <v>ES-25458</v>
      </c>
      <c r="B24" s="148" t="s">
        <v>1730</v>
      </c>
      <c r="C24" s="149" t="s">
        <v>1731</v>
      </c>
      <c r="D24" s="149" t="s">
        <v>2</v>
      </c>
      <c r="E24" s="148" t="s">
        <v>304</v>
      </c>
      <c r="F24" s="148"/>
      <c r="G24" s="147"/>
      <c r="H24" s="148"/>
    </row>
    <row r="25" spans="1:8" x14ac:dyDescent="0.8">
      <c r="A25" s="147" t="str">
        <f>HYPERLINK("http://bluetooth.atlassian.net/browse/ES-26158", "ES-26158")</f>
        <v>ES-26158</v>
      </c>
      <c r="B25" s="148" t="s">
        <v>1730</v>
      </c>
      <c r="C25" s="149" t="s">
        <v>1729</v>
      </c>
      <c r="D25" s="149" t="s">
        <v>2</v>
      </c>
      <c r="E25" s="148" t="s">
        <v>304</v>
      </c>
      <c r="F25" s="148"/>
      <c r="G25" s="147"/>
      <c r="H25" s="148"/>
    </row>
    <row r="26" spans="1:8" x14ac:dyDescent="0.8">
      <c r="A26" s="147" t="str">
        <f>HYPERLINK("http://bluetooth.atlassian.net/browse/ES-23409", "ES-23409")</f>
        <v>ES-23409</v>
      </c>
      <c r="B26" s="148" t="s">
        <v>1727</v>
      </c>
      <c r="C26" s="149" t="s">
        <v>1728</v>
      </c>
      <c r="D26" s="149" t="s">
        <v>2</v>
      </c>
      <c r="E26" s="148" t="s">
        <v>1249</v>
      </c>
      <c r="F26" s="148"/>
      <c r="G26" s="148"/>
      <c r="H26" s="148"/>
    </row>
    <row r="27" spans="1:8" x14ac:dyDescent="0.8">
      <c r="A27" s="147" t="str">
        <f>HYPERLINK("http://bluetooth.atlassian.net/browse/ES-20421", "ES-20421")</f>
        <v>ES-20421</v>
      </c>
      <c r="B27" s="148" t="s">
        <v>1727</v>
      </c>
      <c r="C27" s="149" t="s">
        <v>1726</v>
      </c>
      <c r="D27" s="151" t="s">
        <v>1266</v>
      </c>
      <c r="E27" s="148" t="s">
        <v>1261</v>
      </c>
      <c r="F27" s="148"/>
      <c r="G27" s="147" t="str">
        <f>HYPERLINK("http://bluetooth.atlassian.net/browse/ES-26905", "ES-26905")</f>
        <v>ES-26905</v>
      </c>
      <c r="H27" s="148" t="s">
        <v>1725</v>
      </c>
    </row>
    <row r="28" spans="1:8" x14ac:dyDescent="0.8">
      <c r="A28" s="147" t="str">
        <f>HYPERLINK("http://bluetooth.atlassian.net/browse/ES-25227", "ES-25227")</f>
        <v>ES-25227</v>
      </c>
      <c r="B28" s="148" t="s">
        <v>1721</v>
      </c>
      <c r="C28" s="149" t="s">
        <v>1724</v>
      </c>
      <c r="D28" s="149" t="s">
        <v>2</v>
      </c>
      <c r="E28" s="148" t="s">
        <v>1249</v>
      </c>
      <c r="F28" s="148"/>
      <c r="G28" s="148"/>
      <c r="H28" s="148"/>
    </row>
    <row r="29" spans="1:8" x14ac:dyDescent="0.8">
      <c r="A29" s="147" t="str">
        <f>HYPERLINK("http://bluetooth.atlassian.net/browse/ES-20375", "ES-20375")</f>
        <v>ES-20375</v>
      </c>
      <c r="B29" s="148" t="s">
        <v>1721</v>
      </c>
      <c r="C29" s="149" t="s">
        <v>1723</v>
      </c>
      <c r="D29" s="149" t="s">
        <v>2</v>
      </c>
      <c r="E29" s="148" t="s">
        <v>1261</v>
      </c>
      <c r="F29" s="148"/>
      <c r="G29" s="148"/>
      <c r="H29" s="148"/>
    </row>
    <row r="30" spans="1:8" x14ac:dyDescent="0.8">
      <c r="A30" s="147" t="str">
        <f>HYPERLINK("http://bluetooth.atlassian.net/browse/ES-25611", "ES-25611")</f>
        <v>ES-25611</v>
      </c>
      <c r="B30" s="148" t="s">
        <v>1721</v>
      </c>
      <c r="C30" s="149" t="s">
        <v>1722</v>
      </c>
      <c r="D30" s="149" t="s">
        <v>2</v>
      </c>
      <c r="E30" s="148" t="s">
        <v>1261</v>
      </c>
      <c r="F30" s="148"/>
      <c r="G30" s="148"/>
      <c r="H30" s="148"/>
    </row>
    <row r="31" spans="1:8" ht="27" x14ac:dyDescent="0.8">
      <c r="A31" s="147" t="str">
        <f>HYPERLINK("http://bluetooth.atlassian.net/browse/ES-25193", "ES-25193")</f>
        <v>ES-25193</v>
      </c>
      <c r="B31" s="148" t="s">
        <v>1721</v>
      </c>
      <c r="C31" s="149" t="s">
        <v>1720</v>
      </c>
      <c r="D31" s="151" t="s">
        <v>1255</v>
      </c>
      <c r="E31" s="148" t="s">
        <v>304</v>
      </c>
      <c r="F31" s="148"/>
      <c r="G31" s="147" t="str">
        <f>HYPERLINK("http://bluetooth.atlassian.net/browse/ES-26421", "ES-26421")</f>
        <v>ES-26421</v>
      </c>
      <c r="H31" s="148" t="s">
        <v>1719</v>
      </c>
    </row>
    <row r="32" spans="1:8" ht="53" x14ac:dyDescent="0.8">
      <c r="A32" s="147" t="str">
        <f>HYPERLINK("http://bluetooth.atlassian.net/browse/ES-25086", "ES-25086")</f>
        <v>ES-25086</v>
      </c>
      <c r="B32" s="148" t="s">
        <v>1718</v>
      </c>
      <c r="C32" s="149" t="s">
        <v>1717</v>
      </c>
      <c r="D32" s="151" t="s">
        <v>1266</v>
      </c>
      <c r="E32" s="148" t="s">
        <v>1272</v>
      </c>
      <c r="F32" s="149"/>
      <c r="G32" s="149" t="s">
        <v>1716</v>
      </c>
      <c r="H32" s="149" t="s">
        <v>1715</v>
      </c>
    </row>
    <row r="33" spans="1:8" x14ac:dyDescent="0.8">
      <c r="A33" s="147" t="str">
        <f>HYPERLINK("http://bluetooth.atlassian.net/browse/ES-24761", "ES-24761")</f>
        <v>ES-24761</v>
      </c>
      <c r="B33" s="148" t="s">
        <v>1696</v>
      </c>
      <c r="C33" s="149" t="s">
        <v>1714</v>
      </c>
      <c r="D33" s="149" t="s">
        <v>2</v>
      </c>
      <c r="E33" s="148" t="s">
        <v>1249</v>
      </c>
      <c r="F33" s="148"/>
      <c r="G33" s="148"/>
      <c r="H33" s="148"/>
    </row>
    <row r="34" spans="1:8" x14ac:dyDescent="0.8">
      <c r="A34" s="147" t="str">
        <f>HYPERLINK("http://bluetooth.atlassian.net/browse/ES-25014", "ES-25014")</f>
        <v>ES-25014</v>
      </c>
      <c r="B34" s="148" t="s">
        <v>1696</v>
      </c>
      <c r="C34" s="149" t="s">
        <v>1713</v>
      </c>
      <c r="D34" s="149" t="s">
        <v>2</v>
      </c>
      <c r="E34" s="148" t="s">
        <v>1249</v>
      </c>
      <c r="F34" s="148"/>
      <c r="G34" s="148"/>
      <c r="H34" s="148"/>
    </row>
    <row r="35" spans="1:8" x14ac:dyDescent="0.8">
      <c r="A35" s="147" t="str">
        <f>HYPERLINK("http://bluetooth.atlassian.net/browse/ES-25703", "ES-25703")</f>
        <v>ES-25703</v>
      </c>
      <c r="B35" s="148" t="s">
        <v>1696</v>
      </c>
      <c r="C35" s="149" t="s">
        <v>1712</v>
      </c>
      <c r="D35" s="149" t="s">
        <v>2</v>
      </c>
      <c r="E35" s="148" t="s">
        <v>1249</v>
      </c>
      <c r="F35" s="148"/>
      <c r="G35" s="148"/>
      <c r="H35" s="148"/>
    </row>
    <row r="36" spans="1:8" x14ac:dyDescent="0.8">
      <c r="A36" s="147" t="str">
        <f>HYPERLINK("http://bluetooth.atlassian.net/browse/ES-26325", "ES-26325")</f>
        <v>ES-26325</v>
      </c>
      <c r="B36" s="148" t="s">
        <v>1696</v>
      </c>
      <c r="C36" s="149" t="s">
        <v>1711</v>
      </c>
      <c r="D36" s="149" t="s">
        <v>2</v>
      </c>
      <c r="E36" s="148" t="s">
        <v>1249</v>
      </c>
      <c r="F36" s="148"/>
      <c r="G36" s="148"/>
      <c r="H36" s="148"/>
    </row>
    <row r="37" spans="1:8" x14ac:dyDescent="0.8">
      <c r="A37" s="147" t="str">
        <f>HYPERLINK("http://bluetooth.atlassian.net/browse/ES-26411", "ES-26411")</f>
        <v>ES-26411</v>
      </c>
      <c r="B37" s="148" t="s">
        <v>1696</v>
      </c>
      <c r="C37" s="149" t="s">
        <v>1710</v>
      </c>
      <c r="D37" s="149" t="s">
        <v>2</v>
      </c>
      <c r="E37" s="148" t="s">
        <v>1249</v>
      </c>
      <c r="F37" s="148"/>
      <c r="G37" s="148"/>
      <c r="H37" s="148"/>
    </row>
    <row r="38" spans="1:8" x14ac:dyDescent="0.8">
      <c r="A38" s="147" t="str">
        <f>HYPERLINK("http://bluetooth.atlassian.net/browse/ES-22884", "ES-22884")</f>
        <v>ES-22884</v>
      </c>
      <c r="B38" s="148" t="s">
        <v>1696</v>
      </c>
      <c r="C38" s="149" t="s">
        <v>1709</v>
      </c>
      <c r="D38" s="149" t="s">
        <v>2</v>
      </c>
      <c r="E38" s="148" t="s">
        <v>1261</v>
      </c>
      <c r="F38" s="148"/>
      <c r="G38" s="148"/>
      <c r="H38" s="148"/>
    </row>
    <row r="39" spans="1:8" ht="27" x14ac:dyDescent="0.8">
      <c r="A39" s="147" t="str">
        <f>HYPERLINK("http://bluetooth.atlassian.net/browse/ES-23302", "ES-23302")</f>
        <v>ES-23302</v>
      </c>
      <c r="B39" s="148" t="s">
        <v>1696</v>
      </c>
      <c r="C39" s="149" t="s">
        <v>1708</v>
      </c>
      <c r="D39" s="151" t="s">
        <v>1255</v>
      </c>
      <c r="E39" s="148" t="s">
        <v>1261</v>
      </c>
      <c r="F39" s="148">
        <v>4</v>
      </c>
      <c r="G39" s="147" t="str">
        <f>HYPERLINK("http://bluetooth.atlassian.net/browse/ES-25607", "ES-25607")</f>
        <v>ES-25607</v>
      </c>
      <c r="H39" s="148" t="s">
        <v>1620</v>
      </c>
    </row>
    <row r="40" spans="1:8" ht="27" x14ac:dyDescent="0.8">
      <c r="A40" s="147" t="str">
        <f>HYPERLINK("http://bluetooth.atlassian.net/browse/ES-25212", "ES-25212")</f>
        <v>ES-25212</v>
      </c>
      <c r="B40" s="148" t="s">
        <v>1696</v>
      </c>
      <c r="C40" s="149" t="s">
        <v>1707</v>
      </c>
      <c r="D40" s="151" t="s">
        <v>1255</v>
      </c>
      <c r="E40" s="148" t="s">
        <v>1272</v>
      </c>
      <c r="F40" s="148">
        <v>3</v>
      </c>
      <c r="G40" s="147" t="str">
        <f>HYPERLINK("http://bluetooth.atlassian.net/browse/ES-25652", "ES-25652")</f>
        <v>ES-25652</v>
      </c>
      <c r="H40" s="148" t="s">
        <v>1620</v>
      </c>
    </row>
    <row r="41" spans="1:8" x14ac:dyDescent="0.8">
      <c r="A41" s="147" t="str">
        <f>HYPERLINK("http://bluetooth.atlassian.net/browse/ES-11324", "ES-11324")</f>
        <v>ES-11324</v>
      </c>
      <c r="B41" s="148" t="s">
        <v>1696</v>
      </c>
      <c r="C41" s="149" t="s">
        <v>1706</v>
      </c>
      <c r="D41" s="149" t="s">
        <v>2</v>
      </c>
      <c r="E41" s="148" t="s">
        <v>304</v>
      </c>
      <c r="F41" s="148"/>
      <c r="G41" s="148"/>
      <c r="H41" s="148"/>
    </row>
    <row r="42" spans="1:8" x14ac:dyDescent="0.8">
      <c r="A42" s="147" t="str">
        <f>HYPERLINK("http://bluetooth.atlassian.net/browse/ES-24234", "ES-24234")</f>
        <v>ES-24234</v>
      </c>
      <c r="B42" s="148" t="s">
        <v>1696</v>
      </c>
      <c r="C42" s="149" t="s">
        <v>1705</v>
      </c>
      <c r="D42" s="149" t="s">
        <v>2</v>
      </c>
      <c r="E42" s="148" t="s">
        <v>304</v>
      </c>
      <c r="F42" s="148"/>
      <c r="G42" s="148"/>
      <c r="H42" s="148"/>
    </row>
    <row r="43" spans="1:8" x14ac:dyDescent="0.8">
      <c r="A43" s="147" t="str">
        <f>HYPERLINK("http://bluetooth.atlassian.net/browse/ES-25090", "ES-25090")</f>
        <v>ES-25090</v>
      </c>
      <c r="B43" s="148" t="s">
        <v>1696</v>
      </c>
      <c r="C43" s="149" t="s">
        <v>1704</v>
      </c>
      <c r="D43" s="149" t="s">
        <v>2</v>
      </c>
      <c r="E43" s="148" t="s">
        <v>304</v>
      </c>
      <c r="F43" s="148"/>
      <c r="G43" s="148"/>
      <c r="H43" s="148"/>
    </row>
    <row r="44" spans="1:8" x14ac:dyDescent="0.8">
      <c r="A44" s="147" t="str">
        <f>HYPERLINK("http://bluetooth.atlassian.net/browse/ES-25365", "ES-25365")</f>
        <v>ES-25365</v>
      </c>
      <c r="B44" s="148" t="s">
        <v>1696</v>
      </c>
      <c r="C44" s="149" t="s">
        <v>1703</v>
      </c>
      <c r="D44" s="149" t="s">
        <v>2</v>
      </c>
      <c r="E44" s="148" t="s">
        <v>304</v>
      </c>
      <c r="F44" s="148"/>
      <c r="G44" s="148"/>
      <c r="H44" s="148"/>
    </row>
    <row r="45" spans="1:8" x14ac:dyDescent="0.8">
      <c r="A45" s="147" t="str">
        <f>HYPERLINK("http://bluetooth.atlassian.net/browse/ES-25530", "ES-25530")</f>
        <v>ES-25530</v>
      </c>
      <c r="B45" s="148" t="s">
        <v>1696</v>
      </c>
      <c r="C45" s="149" t="s">
        <v>1702</v>
      </c>
      <c r="D45" s="149" t="s">
        <v>2</v>
      </c>
      <c r="E45" s="148" t="s">
        <v>304</v>
      </c>
      <c r="F45" s="148"/>
      <c r="G45" s="148"/>
      <c r="H45" s="148"/>
    </row>
    <row r="46" spans="1:8" x14ac:dyDescent="0.8">
      <c r="A46" s="147" t="str">
        <f>HYPERLINK("http://bluetooth.atlassian.net/browse/ES-25531", "ES-25531")</f>
        <v>ES-25531</v>
      </c>
      <c r="B46" s="148" t="s">
        <v>1696</v>
      </c>
      <c r="C46" s="149" t="s">
        <v>1701</v>
      </c>
      <c r="D46" s="149" t="s">
        <v>2</v>
      </c>
      <c r="E46" s="148" t="s">
        <v>304</v>
      </c>
      <c r="F46" s="148"/>
      <c r="G46" s="148"/>
      <c r="H46" s="148"/>
    </row>
    <row r="47" spans="1:8" x14ac:dyDescent="0.8">
      <c r="A47" s="147" t="str">
        <f>HYPERLINK("http://bluetooth.atlassian.net/browse/ES-26348", "ES-26348")</f>
        <v>ES-26348</v>
      </c>
      <c r="B47" s="148" t="s">
        <v>1696</v>
      </c>
      <c r="C47" s="149" t="s">
        <v>1700</v>
      </c>
      <c r="D47" s="149" t="s">
        <v>2</v>
      </c>
      <c r="E47" s="148" t="s">
        <v>304</v>
      </c>
      <c r="F47" s="148"/>
      <c r="G47" s="148"/>
      <c r="H47" s="148"/>
    </row>
    <row r="48" spans="1:8" x14ac:dyDescent="0.8">
      <c r="A48" s="147" t="str">
        <f>HYPERLINK("http://bluetooth.atlassian.net/browse/ES-26390", "ES-26390")</f>
        <v>ES-26390</v>
      </c>
      <c r="B48" s="148" t="s">
        <v>1696</v>
      </c>
      <c r="C48" s="149" t="s">
        <v>1699</v>
      </c>
      <c r="D48" s="149" t="s">
        <v>2</v>
      </c>
      <c r="E48" s="148" t="s">
        <v>304</v>
      </c>
      <c r="F48" s="148"/>
      <c r="G48" s="148"/>
      <c r="H48" s="148"/>
    </row>
    <row r="49" spans="1:8" x14ac:dyDescent="0.8">
      <c r="A49" s="147" t="str">
        <f>HYPERLINK("http://bluetooth.atlassian.net/browse/ES-26422", "ES-26422")</f>
        <v>ES-26422</v>
      </c>
      <c r="B49" s="148" t="s">
        <v>1696</v>
      </c>
      <c r="C49" s="149" t="s">
        <v>1698</v>
      </c>
      <c r="D49" s="149" t="s">
        <v>2</v>
      </c>
      <c r="E49" s="148" t="s">
        <v>304</v>
      </c>
      <c r="F49" s="148"/>
      <c r="G49" s="148"/>
      <c r="H49" s="148"/>
    </row>
    <row r="50" spans="1:8" x14ac:dyDescent="0.8">
      <c r="A50" s="147" t="str">
        <f>HYPERLINK("http://bluetooth.atlassian.net/browse/ES-26514", "ES-26514")</f>
        <v>ES-26514</v>
      </c>
      <c r="B50" s="148" t="s">
        <v>1696</v>
      </c>
      <c r="C50" s="149" t="s">
        <v>1697</v>
      </c>
      <c r="D50" s="149" t="s">
        <v>2</v>
      </c>
      <c r="E50" s="148" t="s">
        <v>304</v>
      </c>
      <c r="F50" s="148"/>
      <c r="G50" s="148"/>
      <c r="H50" s="148"/>
    </row>
    <row r="51" spans="1:8" x14ac:dyDescent="0.8">
      <c r="A51" s="147" t="str">
        <f>HYPERLINK("http://bluetooth.atlassian.net/browse/ES-26753", "ES-26753")</f>
        <v>ES-26753</v>
      </c>
      <c r="B51" s="148" t="s">
        <v>1696</v>
      </c>
      <c r="C51" s="149" t="s">
        <v>1695</v>
      </c>
      <c r="D51" s="149" t="s">
        <v>2</v>
      </c>
      <c r="E51" s="148" t="s">
        <v>304</v>
      </c>
      <c r="F51" s="148"/>
      <c r="G51" s="148"/>
      <c r="H51" s="148"/>
    </row>
    <row r="52" spans="1:8" x14ac:dyDescent="0.8">
      <c r="A52" s="147" t="str">
        <f>HYPERLINK("http://bluetooth.atlassian.net/browse/ES-26439", "ES-26439")</f>
        <v>ES-26439</v>
      </c>
      <c r="B52" s="148" t="s">
        <v>1694</v>
      </c>
      <c r="C52" s="149" t="s">
        <v>319</v>
      </c>
      <c r="D52" s="149" t="s">
        <v>2</v>
      </c>
      <c r="E52" s="148" t="s">
        <v>304</v>
      </c>
      <c r="F52" s="148"/>
      <c r="G52" s="148"/>
      <c r="H52" s="148"/>
    </row>
    <row r="53" spans="1:8" x14ac:dyDescent="0.8">
      <c r="A53" s="147" t="str">
        <f>HYPERLINK("http://bluetooth.atlassian.net/browse/ES-26164", "ES-26164")</f>
        <v>ES-26164</v>
      </c>
      <c r="B53" s="148" t="s">
        <v>1674</v>
      </c>
      <c r="C53" s="149" t="s">
        <v>1693</v>
      </c>
      <c r="D53" s="149" t="s">
        <v>2</v>
      </c>
      <c r="E53" s="148" t="s">
        <v>1249</v>
      </c>
      <c r="F53" s="148"/>
      <c r="G53" s="148"/>
      <c r="H53" s="148"/>
    </row>
    <row r="54" spans="1:8" x14ac:dyDescent="0.8">
      <c r="A54" s="147" t="str">
        <f>HYPERLINK("http://bluetooth.atlassian.net/browse/ES-26490", "ES-26490")</f>
        <v>ES-26490</v>
      </c>
      <c r="B54" s="148" t="s">
        <v>1674</v>
      </c>
      <c r="C54" s="149" t="s">
        <v>1692</v>
      </c>
      <c r="D54" s="149" t="s">
        <v>2</v>
      </c>
      <c r="E54" s="148" t="s">
        <v>1249</v>
      </c>
      <c r="F54" s="148"/>
      <c r="G54" s="148"/>
      <c r="H54" s="148"/>
    </row>
    <row r="55" spans="1:8" x14ac:dyDescent="0.8">
      <c r="A55" s="147" t="str">
        <f>HYPERLINK("http://bluetooth.atlassian.net/browse/ES-26539", "ES-26539")</f>
        <v>ES-26539</v>
      </c>
      <c r="B55" s="148" t="s">
        <v>1674</v>
      </c>
      <c r="C55" s="149" t="s">
        <v>1691</v>
      </c>
      <c r="D55" s="149" t="s">
        <v>2</v>
      </c>
      <c r="E55" s="148" t="s">
        <v>1249</v>
      </c>
      <c r="F55" s="148"/>
      <c r="G55" s="148"/>
      <c r="H55" s="148"/>
    </row>
    <row r="56" spans="1:8" x14ac:dyDescent="0.8">
      <c r="A56" s="147" t="str">
        <f>HYPERLINK("http://bluetooth.atlassian.net/browse/ES-20623", "ES-20623")</f>
        <v>ES-20623</v>
      </c>
      <c r="B56" s="148" t="s">
        <v>1674</v>
      </c>
      <c r="C56" s="149" t="s">
        <v>1690</v>
      </c>
      <c r="D56" s="149" t="s">
        <v>2</v>
      </c>
      <c r="E56" s="148" t="s">
        <v>1261</v>
      </c>
      <c r="F56" s="148"/>
      <c r="G56" s="148"/>
      <c r="H56" s="148"/>
    </row>
    <row r="57" spans="1:8" x14ac:dyDescent="0.8">
      <c r="A57" s="147" t="str">
        <f>HYPERLINK("http://bluetooth.atlassian.net/browse/ES-23376", "ES-23376")</f>
        <v>ES-23376</v>
      </c>
      <c r="B57" s="148" t="s">
        <v>1674</v>
      </c>
      <c r="C57" s="149" t="s">
        <v>1689</v>
      </c>
      <c r="D57" s="149" t="s">
        <v>2</v>
      </c>
      <c r="E57" s="148" t="s">
        <v>1261</v>
      </c>
      <c r="F57" s="148"/>
      <c r="G57" s="148"/>
      <c r="H57" s="148"/>
    </row>
    <row r="58" spans="1:8" x14ac:dyDescent="0.8">
      <c r="A58" s="147" t="str">
        <f>HYPERLINK("http://bluetooth.atlassian.net/browse/ES-25820", "ES-25820")</f>
        <v>ES-25820</v>
      </c>
      <c r="B58" s="148" t="s">
        <v>1674</v>
      </c>
      <c r="C58" s="149" t="s">
        <v>1688</v>
      </c>
      <c r="D58" s="149" t="s">
        <v>2</v>
      </c>
      <c r="E58" s="148" t="s">
        <v>1261</v>
      </c>
      <c r="F58" s="148"/>
      <c r="G58" s="148"/>
      <c r="H58" s="148"/>
    </row>
    <row r="59" spans="1:8" x14ac:dyDescent="0.8">
      <c r="A59" s="147" t="str">
        <f>HYPERLINK("http://bluetooth.atlassian.net/browse/ES-26391", "ES-26391")</f>
        <v>ES-26391</v>
      </c>
      <c r="B59" s="148" t="s">
        <v>1674</v>
      </c>
      <c r="C59" s="149" t="s">
        <v>1687</v>
      </c>
      <c r="D59" s="151" t="s">
        <v>1266</v>
      </c>
      <c r="E59" s="148" t="s">
        <v>1261</v>
      </c>
      <c r="F59" s="148">
        <v>2</v>
      </c>
      <c r="G59" s="147" t="str">
        <f>HYPERLINK("http://bluetooth.atlassian.net/browse/ES-26518", "ES-26518")</f>
        <v>ES-26518</v>
      </c>
      <c r="H59" s="148" t="s">
        <v>1620</v>
      </c>
    </row>
    <row r="60" spans="1:8" x14ac:dyDescent="0.8">
      <c r="A60" s="147" t="str">
        <f>HYPERLINK("http://bluetooth.atlassian.net/browse/ES-26398", "ES-26398")</f>
        <v>ES-26398</v>
      </c>
      <c r="B60" s="148" t="s">
        <v>1674</v>
      </c>
      <c r="C60" s="149" t="s">
        <v>1686</v>
      </c>
      <c r="D60" s="151" t="s">
        <v>1266</v>
      </c>
      <c r="E60" s="148" t="s">
        <v>1261</v>
      </c>
      <c r="F60" s="148">
        <v>2</v>
      </c>
      <c r="G60" s="147" t="str">
        <f>HYPERLINK("http://bluetooth.atlassian.net/browse/ES-26519", "ES-26519")</f>
        <v>ES-26519</v>
      </c>
      <c r="H60" s="148" t="s">
        <v>1620</v>
      </c>
    </row>
    <row r="61" spans="1:8" x14ac:dyDescent="0.8">
      <c r="A61" s="147" t="str">
        <f>HYPERLINK("http://bluetooth.atlassian.net/browse/ES-11667", "ES-11667")</f>
        <v>ES-11667</v>
      </c>
      <c r="B61" s="148" t="s">
        <v>1674</v>
      </c>
      <c r="C61" s="149" t="s">
        <v>1685</v>
      </c>
      <c r="D61" s="149" t="s">
        <v>2</v>
      </c>
      <c r="E61" s="148" t="s">
        <v>304</v>
      </c>
      <c r="F61" s="148"/>
      <c r="G61" s="148"/>
      <c r="H61" s="148"/>
    </row>
    <row r="62" spans="1:8" x14ac:dyDescent="0.8">
      <c r="A62" s="147" t="str">
        <f>HYPERLINK("http://bluetooth.atlassian.net/browse/ES-22557", "ES-22557")</f>
        <v>ES-22557</v>
      </c>
      <c r="B62" s="148" t="s">
        <v>1674</v>
      </c>
      <c r="C62" s="149" t="s">
        <v>1684</v>
      </c>
      <c r="D62" s="149" t="s">
        <v>2</v>
      </c>
      <c r="E62" s="148" t="s">
        <v>304</v>
      </c>
      <c r="F62" s="148"/>
      <c r="G62" s="148"/>
      <c r="H62" s="148"/>
    </row>
    <row r="63" spans="1:8" x14ac:dyDescent="0.8">
      <c r="A63" s="147" t="str">
        <f>HYPERLINK("http://bluetooth.atlassian.net/browse/ES-25056", "ES-25056")</f>
        <v>ES-25056</v>
      </c>
      <c r="B63" s="148" t="s">
        <v>1674</v>
      </c>
      <c r="C63" s="149" t="s">
        <v>1683</v>
      </c>
      <c r="D63" s="149" t="s">
        <v>2</v>
      </c>
      <c r="E63" s="148" t="s">
        <v>304</v>
      </c>
      <c r="F63" s="148"/>
      <c r="G63" s="148"/>
      <c r="H63" s="148"/>
    </row>
    <row r="64" spans="1:8" x14ac:dyDescent="0.8">
      <c r="A64" s="147" t="str">
        <f>HYPERLINK("http://bluetooth.atlassian.net/browse/ES-25480", "ES-25480")</f>
        <v>ES-25480</v>
      </c>
      <c r="B64" s="148" t="s">
        <v>1674</v>
      </c>
      <c r="C64" s="149" t="s">
        <v>1682</v>
      </c>
      <c r="D64" s="149" t="s">
        <v>2</v>
      </c>
      <c r="E64" s="148" t="s">
        <v>304</v>
      </c>
      <c r="F64" s="148"/>
      <c r="G64" s="148"/>
      <c r="H64" s="148"/>
    </row>
    <row r="65" spans="1:8" x14ac:dyDescent="0.8">
      <c r="A65" s="147" t="str">
        <f>HYPERLINK("http://bluetooth.atlassian.net/browse/ES-25817", "ES-25817")</f>
        <v>ES-25817</v>
      </c>
      <c r="B65" s="148" t="s">
        <v>1674</v>
      </c>
      <c r="C65" s="149" t="s">
        <v>1681</v>
      </c>
      <c r="D65" s="149" t="s">
        <v>2</v>
      </c>
      <c r="E65" s="148" t="s">
        <v>304</v>
      </c>
      <c r="F65" s="148"/>
      <c r="G65" s="148"/>
      <c r="H65" s="148"/>
    </row>
    <row r="66" spans="1:8" x14ac:dyDescent="0.8">
      <c r="A66" s="147" t="str">
        <f>HYPERLINK("http://bluetooth.atlassian.net/browse/ES-25926", "ES-25926")</f>
        <v>ES-25926</v>
      </c>
      <c r="B66" s="148" t="s">
        <v>1674</v>
      </c>
      <c r="C66" s="149" t="s">
        <v>1680</v>
      </c>
      <c r="D66" s="149" t="s">
        <v>2</v>
      </c>
      <c r="E66" s="148" t="s">
        <v>304</v>
      </c>
      <c r="F66" s="148"/>
      <c r="G66" s="148"/>
      <c r="H66" s="148"/>
    </row>
    <row r="67" spans="1:8" x14ac:dyDescent="0.8">
      <c r="A67" s="147" t="str">
        <f>HYPERLINK("http://bluetooth.atlassian.net/browse/ES-26112", "ES-26112")</f>
        <v>ES-26112</v>
      </c>
      <c r="B67" s="148" t="s">
        <v>1674</v>
      </c>
      <c r="C67" s="149" t="s">
        <v>1679</v>
      </c>
      <c r="D67" s="149" t="s">
        <v>2</v>
      </c>
      <c r="E67" s="148" t="s">
        <v>304</v>
      </c>
      <c r="F67" s="148"/>
      <c r="G67" s="148"/>
      <c r="H67" s="148"/>
    </row>
    <row r="68" spans="1:8" x14ac:dyDescent="0.8">
      <c r="A68" s="147" t="str">
        <f>HYPERLINK("http://bluetooth.atlassian.net/browse/ES-26533", "ES-26533")</f>
        <v>ES-26533</v>
      </c>
      <c r="B68" s="148" t="s">
        <v>1674</v>
      </c>
      <c r="C68" s="149" t="s">
        <v>1678</v>
      </c>
      <c r="D68" s="149" t="s">
        <v>2</v>
      </c>
      <c r="E68" s="148" t="s">
        <v>304</v>
      </c>
      <c r="F68" s="148"/>
      <c r="G68" s="148"/>
      <c r="H68" s="148"/>
    </row>
    <row r="69" spans="1:8" x14ac:dyDescent="0.8">
      <c r="A69" s="147" t="str">
        <f>HYPERLINK("http://bluetooth.atlassian.net/browse/ES-26567", "ES-26567")</f>
        <v>ES-26567</v>
      </c>
      <c r="B69" s="148" t="s">
        <v>1674</v>
      </c>
      <c r="C69" s="149" t="s">
        <v>1677</v>
      </c>
      <c r="D69" s="149" t="s">
        <v>2</v>
      </c>
      <c r="E69" s="148" t="s">
        <v>304</v>
      </c>
      <c r="F69" s="148"/>
      <c r="G69" s="148"/>
      <c r="H69" s="148"/>
    </row>
    <row r="70" spans="1:8" x14ac:dyDescent="0.8">
      <c r="A70" s="147" t="str">
        <f>HYPERLINK("http://bluetooth.atlassian.net/browse/ES-26593", "ES-26593")</f>
        <v>ES-26593</v>
      </c>
      <c r="B70" s="148" t="s">
        <v>1674</v>
      </c>
      <c r="C70" s="149" t="s">
        <v>1502</v>
      </c>
      <c r="D70" s="149" t="s">
        <v>2</v>
      </c>
      <c r="E70" s="148" t="s">
        <v>304</v>
      </c>
      <c r="F70" s="148"/>
      <c r="G70" s="148"/>
      <c r="H70" s="148"/>
    </row>
    <row r="71" spans="1:8" x14ac:dyDescent="0.8">
      <c r="A71" s="147" t="str">
        <f>HYPERLINK("http://bluetooth.atlassian.net/browse/ES-26645", "ES-26645")</f>
        <v>ES-26645</v>
      </c>
      <c r="B71" s="148" t="s">
        <v>1674</v>
      </c>
      <c r="C71" s="149" t="s">
        <v>1676</v>
      </c>
      <c r="D71" s="149" t="s">
        <v>2</v>
      </c>
      <c r="E71" s="148" t="s">
        <v>304</v>
      </c>
      <c r="F71" s="148"/>
      <c r="G71" s="148"/>
      <c r="H71" s="148"/>
    </row>
    <row r="72" spans="1:8" x14ac:dyDescent="0.8">
      <c r="A72" s="147" t="str">
        <f>HYPERLINK("http://bluetooth.atlassian.net/browse/ES-26658", "ES-26658")</f>
        <v>ES-26658</v>
      </c>
      <c r="B72" s="148" t="s">
        <v>1674</v>
      </c>
      <c r="C72" s="149" t="s">
        <v>1675</v>
      </c>
      <c r="D72" s="149" t="s">
        <v>2</v>
      </c>
      <c r="E72" s="148" t="s">
        <v>304</v>
      </c>
      <c r="F72" s="148"/>
      <c r="G72" s="148"/>
      <c r="H72" s="148"/>
    </row>
    <row r="73" spans="1:8" x14ac:dyDescent="0.8">
      <c r="A73" s="147" t="str">
        <f>HYPERLINK("http://bluetooth.atlassian.net/browse/ES-26788", "ES-26788")</f>
        <v>ES-26788</v>
      </c>
      <c r="B73" s="148" t="s">
        <v>1674</v>
      </c>
      <c r="C73" s="149" t="s">
        <v>1673</v>
      </c>
      <c r="D73" s="149" t="s">
        <v>2</v>
      </c>
      <c r="E73" s="148" t="s">
        <v>304</v>
      </c>
      <c r="F73" s="148"/>
      <c r="G73" s="148"/>
      <c r="H73" s="148"/>
    </row>
    <row r="74" spans="1:8" x14ac:dyDescent="0.8">
      <c r="A74" s="147" t="str">
        <f>HYPERLINK("http://bluetooth.atlassian.net/browse/ES-26063", "ES-26063")</f>
        <v>ES-26063</v>
      </c>
      <c r="B74" s="148" t="s">
        <v>1668</v>
      </c>
      <c r="C74" s="149" t="s">
        <v>1672</v>
      </c>
      <c r="D74" s="149" t="s">
        <v>2</v>
      </c>
      <c r="E74" s="148" t="s">
        <v>1249</v>
      </c>
      <c r="F74" s="148"/>
      <c r="G74" s="148"/>
      <c r="H74" s="148"/>
    </row>
    <row r="75" spans="1:8" x14ac:dyDescent="0.8">
      <c r="A75" s="147" t="str">
        <f>HYPERLINK("http://bluetooth.atlassian.net/browse/ES-26116", "ES-26116")</f>
        <v>ES-26116</v>
      </c>
      <c r="B75" s="148" t="s">
        <v>1668</v>
      </c>
      <c r="C75" s="149" t="s">
        <v>1671</v>
      </c>
      <c r="D75" s="149" t="s">
        <v>2</v>
      </c>
      <c r="E75" s="148" t="s">
        <v>1261</v>
      </c>
      <c r="F75" s="148"/>
      <c r="G75" s="148"/>
      <c r="H75" s="148"/>
    </row>
    <row r="76" spans="1:8" x14ac:dyDescent="0.8">
      <c r="A76" s="147" t="str">
        <f>HYPERLINK("http://bluetooth.atlassian.net/browse/ES-25876", "ES-25876")</f>
        <v>ES-25876</v>
      </c>
      <c r="B76" s="148" t="s">
        <v>1668</v>
      </c>
      <c r="C76" s="149" t="s">
        <v>1670</v>
      </c>
      <c r="D76" s="149" t="s">
        <v>2</v>
      </c>
      <c r="E76" s="148" t="s">
        <v>304</v>
      </c>
      <c r="F76" s="148"/>
      <c r="G76" s="148"/>
      <c r="H76" s="148"/>
    </row>
    <row r="77" spans="1:8" x14ac:dyDescent="0.8">
      <c r="A77" s="147" t="str">
        <f>HYPERLINK("http://bluetooth.atlassian.net/browse/ES-26062", "ES-26062")</f>
        <v>ES-26062</v>
      </c>
      <c r="B77" s="148" t="s">
        <v>1668</v>
      </c>
      <c r="C77" s="149" t="s">
        <v>1669</v>
      </c>
      <c r="D77" s="149" t="s">
        <v>2</v>
      </c>
      <c r="E77" s="148" t="s">
        <v>304</v>
      </c>
      <c r="F77" s="148"/>
      <c r="G77" s="148"/>
      <c r="H77" s="148"/>
    </row>
    <row r="78" spans="1:8" x14ac:dyDescent="0.8">
      <c r="A78" s="147" t="str">
        <f>HYPERLINK("http://bluetooth.atlassian.net/browse/ES-26082", "ES-26082")</f>
        <v>ES-26082</v>
      </c>
      <c r="B78" s="148" t="s">
        <v>1668</v>
      </c>
      <c r="C78" s="149" t="s">
        <v>1667</v>
      </c>
      <c r="D78" s="149" t="s">
        <v>2</v>
      </c>
      <c r="E78" s="148" t="s">
        <v>304</v>
      </c>
      <c r="F78" s="148"/>
      <c r="G78" s="148"/>
      <c r="H78" s="148"/>
    </row>
    <row r="79" spans="1:8" x14ac:dyDescent="0.8">
      <c r="A79" s="147" t="str">
        <f>HYPERLINK("http://bluetooth.atlassian.net/browse/ES-25720", "ES-25720")</f>
        <v>ES-25720</v>
      </c>
      <c r="B79" s="148" t="s">
        <v>1652</v>
      </c>
      <c r="C79" s="149" t="s">
        <v>1666</v>
      </c>
      <c r="D79" s="149" t="s">
        <v>2</v>
      </c>
      <c r="E79" s="148" t="s">
        <v>1249</v>
      </c>
      <c r="F79" s="148"/>
      <c r="G79" s="148"/>
      <c r="H79" s="148"/>
    </row>
    <row r="80" spans="1:8" x14ac:dyDescent="0.8">
      <c r="A80" s="147" t="str">
        <f>HYPERLINK("http://bluetooth.atlassian.net/browse/ES-26064", "ES-26064")</f>
        <v>ES-26064</v>
      </c>
      <c r="B80" s="148" t="s">
        <v>1652</v>
      </c>
      <c r="C80" s="149" t="s">
        <v>1665</v>
      </c>
      <c r="D80" s="151" t="s">
        <v>1266</v>
      </c>
      <c r="E80" s="148" t="s">
        <v>1249</v>
      </c>
      <c r="F80" s="148">
        <v>4</v>
      </c>
      <c r="G80" s="147" t="str">
        <f>HYPERLINK("http://bluetooth.atlassian.net/browse/ES-26044", "ES-26044")</f>
        <v>ES-26044</v>
      </c>
      <c r="H80" s="148" t="s">
        <v>1614</v>
      </c>
    </row>
    <row r="81" spans="1:8" x14ac:dyDescent="0.8">
      <c r="A81" s="147" t="str">
        <f>HYPERLINK("http://bluetooth.atlassian.net/browse/ES-26078", "ES-26078")</f>
        <v>ES-26078</v>
      </c>
      <c r="B81" s="148" t="s">
        <v>1652</v>
      </c>
      <c r="C81" s="149" t="s">
        <v>1664</v>
      </c>
      <c r="D81" s="149" t="s">
        <v>2</v>
      </c>
      <c r="E81" s="148" t="s">
        <v>1249</v>
      </c>
      <c r="F81" s="148"/>
      <c r="G81" s="148"/>
      <c r="H81" s="148"/>
    </row>
    <row r="82" spans="1:8" x14ac:dyDescent="0.8">
      <c r="A82" s="147" t="str">
        <f>HYPERLINK("http://bluetooth.atlassian.net/browse/ES-25982", "ES-25982")</f>
        <v>ES-25982</v>
      </c>
      <c r="B82" s="148" t="s">
        <v>1652</v>
      </c>
      <c r="C82" s="149" t="s">
        <v>1663</v>
      </c>
      <c r="D82" s="149" t="s">
        <v>2</v>
      </c>
      <c r="E82" s="148" t="s">
        <v>1261</v>
      </c>
      <c r="F82" s="148"/>
      <c r="G82" s="148"/>
      <c r="H82" s="148"/>
    </row>
    <row r="83" spans="1:8" x14ac:dyDescent="0.8">
      <c r="A83" s="147" t="str">
        <f>HYPERLINK("http://bluetooth.atlassian.net/browse/ES-26060", "ES-26060")</f>
        <v>ES-26060</v>
      </c>
      <c r="B83" s="148" t="s">
        <v>1652</v>
      </c>
      <c r="C83" s="149" t="s">
        <v>1662</v>
      </c>
      <c r="D83" s="151" t="s">
        <v>1266</v>
      </c>
      <c r="E83" s="148" t="s">
        <v>1261</v>
      </c>
      <c r="F83" s="148"/>
      <c r="G83" s="147" t="str">
        <f>HYPERLINK("http://bluetooth.atlassian.net/browse/ES-26159", "ES-26159")</f>
        <v>ES-26159</v>
      </c>
      <c r="H83" s="148" t="s">
        <v>1661</v>
      </c>
    </row>
    <row r="84" spans="1:8" x14ac:dyDescent="0.8">
      <c r="A84" s="147" t="str">
        <f>HYPERLINK("http://bluetooth.atlassian.net/browse/ES-25847", "ES-25847")</f>
        <v>ES-25847</v>
      </c>
      <c r="B84" s="148" t="s">
        <v>1652</v>
      </c>
      <c r="C84" s="149" t="s">
        <v>1660</v>
      </c>
      <c r="D84" s="149" t="s">
        <v>2</v>
      </c>
      <c r="E84" s="148" t="s">
        <v>1272</v>
      </c>
      <c r="F84" s="148"/>
      <c r="G84" s="148"/>
      <c r="H84" s="148"/>
    </row>
    <row r="85" spans="1:8" ht="27" x14ac:dyDescent="0.8">
      <c r="A85" s="147" t="str">
        <f>HYPERLINK("http://bluetooth.atlassian.net/browse/ES-25899", "ES-25899")</f>
        <v>ES-25899</v>
      </c>
      <c r="B85" s="148" t="s">
        <v>1652</v>
      </c>
      <c r="C85" s="149" t="s">
        <v>1659</v>
      </c>
      <c r="D85" s="151" t="s">
        <v>1255</v>
      </c>
      <c r="E85" s="148" t="s">
        <v>1272</v>
      </c>
      <c r="F85" s="148">
        <v>1</v>
      </c>
      <c r="G85" s="147" t="str">
        <f>HYPERLINK("http://bluetooth.atlassian.net/browse/ES-25923", "ES-25923")</f>
        <v>ES-25923</v>
      </c>
      <c r="H85" s="148" t="s">
        <v>1614</v>
      </c>
    </row>
    <row r="86" spans="1:8" x14ac:dyDescent="0.8">
      <c r="A86" s="147" t="str">
        <f>HYPERLINK("http://bluetooth.atlassian.net/browse/ES-25633", "ES-25633")</f>
        <v>ES-25633</v>
      </c>
      <c r="B86" s="148" t="s">
        <v>1652</v>
      </c>
      <c r="C86" s="149" t="s">
        <v>1658</v>
      </c>
      <c r="D86" s="151" t="s">
        <v>1266</v>
      </c>
      <c r="E86" s="148" t="s">
        <v>304</v>
      </c>
      <c r="F86" s="148">
        <v>1</v>
      </c>
      <c r="G86" s="147" t="str">
        <f>HYPERLINK("http://bluetooth.atlassian.net/browse/ES-26015", "ES-26015")</f>
        <v>ES-26015</v>
      </c>
      <c r="H86" s="148" t="s">
        <v>1614</v>
      </c>
    </row>
    <row r="87" spans="1:8" x14ac:dyDescent="0.8">
      <c r="A87" s="147" t="str">
        <f>HYPERLINK("http://bluetooth.atlassian.net/browse/ES-25684", "ES-25684")</f>
        <v>ES-25684</v>
      </c>
      <c r="B87" s="148" t="s">
        <v>1652</v>
      </c>
      <c r="C87" s="149" t="s">
        <v>1657</v>
      </c>
      <c r="D87" s="149" t="s">
        <v>2</v>
      </c>
      <c r="E87" s="148" t="s">
        <v>304</v>
      </c>
      <c r="F87" s="148"/>
      <c r="G87" s="148"/>
      <c r="H87" s="148"/>
    </row>
    <row r="88" spans="1:8" x14ac:dyDescent="0.8">
      <c r="A88" s="147" t="str">
        <f>HYPERLINK("http://bluetooth.atlassian.net/browse/ES-25718", "ES-25718")</f>
        <v>ES-25718</v>
      </c>
      <c r="B88" s="148" t="s">
        <v>1652</v>
      </c>
      <c r="C88" s="149" t="s">
        <v>1656</v>
      </c>
      <c r="D88" s="149" t="s">
        <v>2</v>
      </c>
      <c r="E88" s="148" t="s">
        <v>304</v>
      </c>
      <c r="F88" s="148"/>
      <c r="G88" s="148"/>
      <c r="H88" s="148"/>
    </row>
    <row r="89" spans="1:8" x14ac:dyDescent="0.8">
      <c r="A89" s="147" t="str">
        <f>HYPERLINK("http://bluetooth.atlassian.net/browse/ES-25765", "ES-25765")</f>
        <v>ES-25765</v>
      </c>
      <c r="B89" s="148" t="s">
        <v>1652</v>
      </c>
      <c r="C89" s="149" t="s">
        <v>1655</v>
      </c>
      <c r="D89" s="149" t="s">
        <v>2</v>
      </c>
      <c r="E89" s="148" t="s">
        <v>304</v>
      </c>
      <c r="F89" s="148"/>
      <c r="G89" s="148"/>
      <c r="H89" s="148"/>
    </row>
    <row r="90" spans="1:8" x14ac:dyDescent="0.8">
      <c r="A90" s="147" t="str">
        <f>HYPERLINK("http://bluetooth.atlassian.net/browse/ES-25995", "ES-25995")</f>
        <v>ES-25995</v>
      </c>
      <c r="B90" s="148" t="s">
        <v>1652</v>
      </c>
      <c r="C90" s="149" t="s">
        <v>1654</v>
      </c>
      <c r="D90" s="149" t="s">
        <v>2</v>
      </c>
      <c r="E90" s="148" t="s">
        <v>304</v>
      </c>
      <c r="F90" s="148"/>
      <c r="G90" s="148"/>
      <c r="H90" s="148"/>
    </row>
    <row r="91" spans="1:8" x14ac:dyDescent="0.8">
      <c r="A91" s="147" t="str">
        <f>HYPERLINK("http://bluetooth.atlassian.net/browse/ES-25996", "ES-25996")</f>
        <v>ES-25996</v>
      </c>
      <c r="B91" s="148" t="s">
        <v>1652</v>
      </c>
      <c r="C91" s="149" t="s">
        <v>1653</v>
      </c>
      <c r="D91" s="149" t="s">
        <v>2</v>
      </c>
      <c r="E91" s="148" t="s">
        <v>304</v>
      </c>
      <c r="F91" s="148"/>
      <c r="G91" s="148"/>
      <c r="H91" s="148"/>
    </row>
    <row r="92" spans="1:8" x14ac:dyDescent="0.8">
      <c r="A92" s="147" t="str">
        <f>HYPERLINK("http://bluetooth.atlassian.net/browse/ES-25997", "ES-25997")</f>
        <v>ES-25997</v>
      </c>
      <c r="B92" s="148" t="s">
        <v>1652</v>
      </c>
      <c r="C92" s="149" t="s">
        <v>1651</v>
      </c>
      <c r="D92" s="149" t="s">
        <v>2</v>
      </c>
      <c r="E92" s="148" t="s">
        <v>304</v>
      </c>
      <c r="F92" s="148"/>
      <c r="G92" s="148"/>
      <c r="H92" s="148"/>
    </row>
    <row r="93" spans="1:8" ht="53" x14ac:dyDescent="0.8">
      <c r="A93" s="147" t="str">
        <f>HYPERLINK("http://bluetooth.atlassian.net/browse/ES-26104", "ES-26104")</f>
        <v>ES-26104</v>
      </c>
      <c r="B93" s="148" t="s">
        <v>1634</v>
      </c>
      <c r="C93" s="149" t="s">
        <v>1650</v>
      </c>
      <c r="D93" s="151" t="s">
        <v>1266</v>
      </c>
      <c r="E93" s="148" t="s">
        <v>1261</v>
      </c>
      <c r="F93" s="149" t="s">
        <v>1649</v>
      </c>
      <c r="G93" s="149" t="s">
        <v>1648</v>
      </c>
      <c r="H93" s="149" t="s">
        <v>1647</v>
      </c>
    </row>
    <row r="94" spans="1:8" ht="53" x14ac:dyDescent="0.8">
      <c r="A94" s="147" t="str">
        <f>HYPERLINK("http://bluetooth.atlassian.net/browse/ES-25131", "ES-25131")</f>
        <v>ES-25131</v>
      </c>
      <c r="B94" s="148" t="s">
        <v>1634</v>
      </c>
      <c r="C94" s="149" t="s">
        <v>1646</v>
      </c>
      <c r="D94" s="151" t="s">
        <v>1266</v>
      </c>
      <c r="E94" s="148" t="s">
        <v>304</v>
      </c>
      <c r="F94" s="149" t="s">
        <v>1645</v>
      </c>
      <c r="G94" s="149" t="s">
        <v>1644</v>
      </c>
      <c r="H94" s="149" t="s">
        <v>1643</v>
      </c>
    </row>
    <row r="95" spans="1:8" x14ac:dyDescent="0.8">
      <c r="A95" s="147" t="str">
        <f>HYPERLINK("http://bluetooth.atlassian.net/browse/ES-25502", "ES-25502")</f>
        <v>ES-25502</v>
      </c>
      <c r="B95" s="148" t="s">
        <v>1634</v>
      </c>
      <c r="C95" s="149" t="s">
        <v>1642</v>
      </c>
      <c r="D95" s="149" t="s">
        <v>2</v>
      </c>
      <c r="E95" s="148" t="s">
        <v>304</v>
      </c>
      <c r="F95" s="148"/>
      <c r="G95" s="148"/>
      <c r="H95" s="148"/>
    </row>
    <row r="96" spans="1:8" x14ac:dyDescent="0.8">
      <c r="A96" s="147" t="str">
        <f>HYPERLINK("http://bluetooth.atlassian.net/browse/ES-25773", "ES-25773")</f>
        <v>ES-25773</v>
      </c>
      <c r="B96" s="148" t="s">
        <v>1634</v>
      </c>
      <c r="C96" s="149" t="s">
        <v>1641</v>
      </c>
      <c r="D96" s="149" t="s">
        <v>2</v>
      </c>
      <c r="E96" s="148" t="s">
        <v>304</v>
      </c>
      <c r="F96" s="148"/>
      <c r="G96" s="148"/>
      <c r="H96" s="148"/>
    </row>
    <row r="97" spans="1:8" x14ac:dyDescent="0.8">
      <c r="A97" s="147" t="str">
        <f>HYPERLINK("http://bluetooth.atlassian.net/browse/ES-26111", "ES-26111")</f>
        <v>ES-26111</v>
      </c>
      <c r="B97" s="148" t="s">
        <v>1634</v>
      </c>
      <c r="C97" s="149" t="s">
        <v>1640</v>
      </c>
      <c r="D97" s="149" t="s">
        <v>2</v>
      </c>
      <c r="E97" s="148" t="s">
        <v>304</v>
      </c>
      <c r="F97" s="148"/>
      <c r="G97" s="148"/>
      <c r="H97" s="148"/>
    </row>
    <row r="98" spans="1:8" ht="53" x14ac:dyDescent="0.8">
      <c r="A98" s="147" t="str">
        <f>HYPERLINK("http://bluetooth.atlassian.net/browse/ES-26162", "ES-26162")</f>
        <v>ES-26162</v>
      </c>
      <c r="B98" s="148" t="s">
        <v>1634</v>
      </c>
      <c r="C98" s="149" t="s">
        <v>1639</v>
      </c>
      <c r="D98" s="151" t="s">
        <v>1266</v>
      </c>
      <c r="E98" s="148" t="s">
        <v>304</v>
      </c>
      <c r="F98" s="149" t="s">
        <v>1638</v>
      </c>
      <c r="G98" s="149" t="s">
        <v>1637</v>
      </c>
      <c r="H98" s="149" t="s">
        <v>1636</v>
      </c>
    </row>
    <row r="99" spans="1:8" x14ac:dyDescent="0.8">
      <c r="A99" s="147" t="str">
        <f>HYPERLINK("http://bluetooth.atlassian.net/browse/ES-26548", "ES-26548")</f>
        <v>ES-26548</v>
      </c>
      <c r="B99" s="148" t="s">
        <v>1634</v>
      </c>
      <c r="C99" s="149" t="s">
        <v>1635</v>
      </c>
      <c r="D99" s="149" t="s">
        <v>2</v>
      </c>
      <c r="E99" s="148" t="s">
        <v>304</v>
      </c>
      <c r="F99" s="148"/>
      <c r="G99" s="148"/>
      <c r="H99" s="148"/>
    </row>
    <row r="100" spans="1:8" x14ac:dyDescent="0.8">
      <c r="A100" s="147" t="str">
        <f>HYPERLINK("http://bluetooth.atlassian.net/browse/ES-26814", "ES-26814")</f>
        <v>ES-26814</v>
      </c>
      <c r="B100" s="148" t="s">
        <v>1634</v>
      </c>
      <c r="C100" s="149" t="s">
        <v>663</v>
      </c>
      <c r="D100" s="149" t="s">
        <v>2</v>
      </c>
      <c r="E100" s="148" t="s">
        <v>304</v>
      </c>
      <c r="F100" s="148"/>
      <c r="G100" s="148"/>
      <c r="H100" s="148"/>
    </row>
    <row r="101" spans="1:8" x14ac:dyDescent="0.8">
      <c r="A101" s="147" t="str">
        <f>HYPERLINK("http://bluetooth.atlassian.net/browse/ES-25277", "ES-25277")</f>
        <v>ES-25277</v>
      </c>
      <c r="B101" s="148" t="s">
        <v>1633</v>
      </c>
      <c r="C101" s="149" t="s">
        <v>1632</v>
      </c>
      <c r="D101" s="149" t="s">
        <v>2</v>
      </c>
      <c r="E101" s="148" t="s">
        <v>1261</v>
      </c>
      <c r="F101" s="148"/>
      <c r="G101" s="148"/>
      <c r="H101" s="148"/>
    </row>
    <row r="102" spans="1:8" x14ac:dyDescent="0.8">
      <c r="A102" s="147" t="str">
        <f>HYPERLINK("http://bluetooth.atlassian.net/browse/ES-25393", "ES-25393")</f>
        <v>ES-25393</v>
      </c>
      <c r="B102" s="148" t="s">
        <v>1630</v>
      </c>
      <c r="C102" s="149" t="s">
        <v>1631</v>
      </c>
      <c r="D102" s="149" t="s">
        <v>2</v>
      </c>
      <c r="E102" s="148" t="s">
        <v>1249</v>
      </c>
      <c r="F102" s="148"/>
      <c r="G102" s="148"/>
      <c r="H102" s="148"/>
    </row>
    <row r="103" spans="1:8" x14ac:dyDescent="0.8">
      <c r="A103" s="147" t="str">
        <f>HYPERLINK("http://bluetooth.atlassian.net/browse/ES-25392", "ES-25392")</f>
        <v>ES-25392</v>
      </c>
      <c r="B103" s="148" t="s">
        <v>1630</v>
      </c>
      <c r="C103" s="149" t="s">
        <v>1629</v>
      </c>
      <c r="D103" s="149" t="s">
        <v>2</v>
      </c>
      <c r="E103" s="148" t="s">
        <v>1261</v>
      </c>
      <c r="F103" s="148"/>
      <c r="G103" s="148"/>
      <c r="H103" s="148"/>
    </row>
    <row r="104" spans="1:8" x14ac:dyDescent="0.8">
      <c r="A104" s="147" t="str">
        <f>HYPERLINK("http://bluetooth.atlassian.net/browse/ES-25944", "ES-25944")</f>
        <v>ES-25944</v>
      </c>
      <c r="B104" s="148" t="s">
        <v>1618</v>
      </c>
      <c r="C104" s="149" t="s">
        <v>1628</v>
      </c>
      <c r="D104" s="151" t="s">
        <v>1266</v>
      </c>
      <c r="E104" s="148" t="s">
        <v>1249</v>
      </c>
      <c r="F104" s="148"/>
      <c r="G104" s="147" t="str">
        <f>HYPERLINK("http://bluetooth.atlassian.net/browse/ES-26115", "ES-26115")</f>
        <v>ES-26115</v>
      </c>
      <c r="H104" s="148" t="s">
        <v>1627</v>
      </c>
    </row>
    <row r="105" spans="1:8" ht="27" x14ac:dyDescent="0.8">
      <c r="A105" s="147" t="str">
        <f>HYPERLINK("http://bluetooth.atlassian.net/browse/ES-23289", "ES-23289")</f>
        <v>ES-23289</v>
      </c>
      <c r="B105" s="148" t="s">
        <v>1618</v>
      </c>
      <c r="C105" s="149" t="s">
        <v>1626</v>
      </c>
      <c r="D105" s="151" t="s">
        <v>1266</v>
      </c>
      <c r="E105" s="148" t="s">
        <v>1261</v>
      </c>
      <c r="F105" s="148" t="s">
        <v>1625</v>
      </c>
      <c r="G105" s="149" t="s">
        <v>1624</v>
      </c>
      <c r="H105" s="149" t="s">
        <v>1623</v>
      </c>
    </row>
    <row r="106" spans="1:8" x14ac:dyDescent="0.8">
      <c r="A106" s="147" t="str">
        <f>HYPERLINK("http://bluetooth.atlassian.net/browse/ES-25823", "ES-25823")</f>
        <v>ES-25823</v>
      </c>
      <c r="B106" s="148" t="s">
        <v>1618</v>
      </c>
      <c r="C106" s="149" t="s">
        <v>1622</v>
      </c>
      <c r="D106" s="151" t="s">
        <v>1266</v>
      </c>
      <c r="E106" s="148" t="s">
        <v>1261</v>
      </c>
      <c r="F106" s="148">
        <v>3</v>
      </c>
      <c r="G106" s="147" t="str">
        <f>HYPERLINK("http://bluetooth.atlassian.net/browse/ES-26014", "ES-26014")</f>
        <v>ES-26014</v>
      </c>
      <c r="H106" s="148" t="s">
        <v>1614</v>
      </c>
    </row>
    <row r="107" spans="1:8" x14ac:dyDescent="0.8">
      <c r="A107" s="147" t="str">
        <f>HYPERLINK("http://bluetooth.atlassian.net/browse/ES-25900", "ES-25900")</f>
        <v>ES-25900</v>
      </c>
      <c r="B107" s="148" t="s">
        <v>1618</v>
      </c>
      <c r="C107" s="149" t="s">
        <v>1621</v>
      </c>
      <c r="D107" s="151" t="s">
        <v>1266</v>
      </c>
      <c r="E107" s="148" t="s">
        <v>1261</v>
      </c>
      <c r="F107" s="148">
        <v>1</v>
      </c>
      <c r="G107" s="147" t="str">
        <f>HYPERLINK("http://bluetooth.atlassian.net/browse/ES-26360", "ES-26360")</f>
        <v>ES-26360</v>
      </c>
      <c r="H107" s="148" t="s">
        <v>1620</v>
      </c>
    </row>
    <row r="108" spans="1:8" x14ac:dyDescent="0.8">
      <c r="A108" s="147" t="str">
        <f>HYPERLINK("http://bluetooth.atlassian.net/browse/ES-25906", "ES-25906")</f>
        <v>ES-25906</v>
      </c>
      <c r="B108" s="148" t="s">
        <v>1618</v>
      </c>
      <c r="C108" s="149" t="s">
        <v>1619</v>
      </c>
      <c r="D108" s="149" t="s">
        <v>2</v>
      </c>
      <c r="E108" s="148" t="s">
        <v>1261</v>
      </c>
      <c r="F108" s="148"/>
      <c r="G108" s="148"/>
      <c r="H108" s="148"/>
    </row>
    <row r="109" spans="1:8" x14ac:dyDescent="0.8">
      <c r="A109" s="147" t="str">
        <f>HYPERLINK("http://bluetooth.atlassian.net/browse/ES-25903", "ES-25903")</f>
        <v>ES-25903</v>
      </c>
      <c r="B109" s="148" t="s">
        <v>1618</v>
      </c>
      <c r="C109" s="149" t="s">
        <v>1617</v>
      </c>
      <c r="D109" s="149" t="s">
        <v>2</v>
      </c>
      <c r="E109" s="148" t="s">
        <v>1272</v>
      </c>
      <c r="F109" s="148"/>
      <c r="G109" s="148"/>
      <c r="H109" s="148"/>
    </row>
    <row r="110" spans="1:8" x14ac:dyDescent="0.8">
      <c r="A110" s="147" t="str">
        <f>HYPERLINK("http://bluetooth.atlassian.net/browse/ES-25333", "ES-25333")</f>
        <v>ES-25333</v>
      </c>
      <c r="B110" s="148" t="s">
        <v>1616</v>
      </c>
      <c r="C110" s="149" t="s">
        <v>1615</v>
      </c>
      <c r="D110" s="151" t="s">
        <v>1266</v>
      </c>
      <c r="E110" s="148" t="s">
        <v>304</v>
      </c>
      <c r="F110" s="148">
        <v>1</v>
      </c>
      <c r="G110" s="147" t="str">
        <f>HYPERLINK("http://bluetooth.atlassian.net/browse/ES-25806", "ES-25806")</f>
        <v>ES-25806</v>
      </c>
      <c r="H110" s="148" t="s">
        <v>1614</v>
      </c>
    </row>
    <row r="111" spans="1:8" x14ac:dyDescent="0.8">
      <c r="A111" s="147" t="str">
        <f>HYPERLINK("http://bluetooth.atlassian.net/browse/ES-26517", "ES-26517")</f>
        <v>ES-26517</v>
      </c>
      <c r="B111" s="148" t="s">
        <v>1612</v>
      </c>
      <c r="C111" s="149" t="s">
        <v>1613</v>
      </c>
      <c r="D111" s="149" t="s">
        <v>2</v>
      </c>
      <c r="E111" s="148" t="s">
        <v>1249</v>
      </c>
      <c r="F111" s="148"/>
      <c r="G111" s="148"/>
      <c r="H111" s="148"/>
    </row>
    <row r="112" spans="1:8" x14ac:dyDescent="0.8">
      <c r="A112" s="147" t="str">
        <f>HYPERLINK("http://bluetooth.atlassian.net/browse/ES-26520", "ES-26520")</f>
        <v>ES-26520</v>
      </c>
      <c r="B112" s="148" t="s">
        <v>1612</v>
      </c>
      <c r="C112" s="149" t="s">
        <v>1611</v>
      </c>
      <c r="D112" s="150" t="s">
        <v>2</v>
      </c>
      <c r="E112" s="148" t="s">
        <v>304</v>
      </c>
      <c r="F112" s="148"/>
      <c r="G112" s="148"/>
      <c r="H112" s="148"/>
    </row>
  </sheetData>
  <mergeCells count="1">
    <mergeCell ref="A1:H2"/>
  </mergeCells>
  <pageMargins left="0.75" right="0.75" top="1" bottom="1" header="0.5" footer="0.5"/>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4D944-593C-4F3E-87BF-124B19091B72}">
  <dimension ref="A1:H1000"/>
  <sheetViews>
    <sheetView zoomScaleNormal="100" workbookViewId="0">
      <pane ySplit="3" topLeftCell="A4" activePane="bottomLeft" state="frozen"/>
      <selection pane="bottomLeft" activeCell="A4" sqref="A4"/>
    </sheetView>
  </sheetViews>
  <sheetFormatPr defaultColWidth="12.86328125" defaultRowHeight="15" customHeight="1" x14ac:dyDescent="0.6"/>
  <cols>
    <col min="1" max="1" width="13.86328125" style="118" bestFit="1" customWidth="1"/>
    <col min="2" max="2" width="52.26953125" style="118" customWidth="1"/>
    <col min="3" max="3" width="85.86328125" style="118" bestFit="1" customWidth="1"/>
    <col min="4" max="4" width="21.40625" style="118" customWidth="1"/>
    <col min="5" max="5" width="18.86328125" style="118" customWidth="1"/>
    <col min="6" max="6" width="17.7265625" style="122" customWidth="1"/>
    <col min="7" max="7" width="9.26953125" style="123" bestFit="1" customWidth="1"/>
    <col min="8" max="8" width="40.26953125" style="131" customWidth="1"/>
    <col min="9" max="16384" width="12.86328125" style="118"/>
  </cols>
  <sheetData>
    <row r="1" spans="1:8" ht="66.75" customHeight="1" thickBot="1" x14ac:dyDescent="0.75">
      <c r="A1" s="164" t="s">
        <v>1764</v>
      </c>
      <c r="B1" s="164"/>
      <c r="C1" s="164"/>
      <c r="D1" s="164"/>
      <c r="E1" s="164"/>
      <c r="F1" s="164"/>
      <c r="G1" s="164"/>
      <c r="H1" s="165"/>
    </row>
    <row r="2" spans="1:8" ht="21" customHeight="1" x14ac:dyDescent="0.6"/>
    <row r="3" spans="1:8" s="119" customFormat="1" ht="13" x14ac:dyDescent="0.6">
      <c r="A3" s="124" t="s">
        <v>775</v>
      </c>
      <c r="B3" s="124" t="s">
        <v>9</v>
      </c>
      <c r="C3" s="124" t="s">
        <v>3</v>
      </c>
      <c r="D3" s="124" t="s">
        <v>314</v>
      </c>
      <c r="E3" s="124" t="s">
        <v>0</v>
      </c>
      <c r="F3" s="124" t="s">
        <v>788</v>
      </c>
      <c r="G3" s="124" t="s">
        <v>789</v>
      </c>
      <c r="H3" s="124" t="s">
        <v>337</v>
      </c>
    </row>
    <row r="4" spans="1:8" ht="13" x14ac:dyDescent="0.6">
      <c r="A4" s="125">
        <v>24281</v>
      </c>
      <c r="B4" s="126" t="s">
        <v>1579</v>
      </c>
      <c r="C4" s="126" t="s">
        <v>1247</v>
      </c>
      <c r="D4" s="134" t="s">
        <v>304</v>
      </c>
      <c r="E4" s="134" t="s">
        <v>2</v>
      </c>
      <c r="F4" s="126"/>
      <c r="G4" s="126" t="s">
        <v>204</v>
      </c>
      <c r="H4" s="126" t="s">
        <v>204</v>
      </c>
    </row>
    <row r="5" spans="1:8" ht="13" x14ac:dyDescent="0.6">
      <c r="A5" s="127">
        <v>23649</v>
      </c>
      <c r="B5" s="128" t="s">
        <v>1580</v>
      </c>
      <c r="C5" s="128" t="s">
        <v>1248</v>
      </c>
      <c r="D5" s="135" t="s">
        <v>1249</v>
      </c>
      <c r="E5" s="135" t="s">
        <v>2</v>
      </c>
      <c r="F5" s="128"/>
      <c r="G5" s="128" t="s">
        <v>204</v>
      </c>
      <c r="H5" s="128" t="s">
        <v>204</v>
      </c>
    </row>
    <row r="6" spans="1:8" ht="13" x14ac:dyDescent="0.6">
      <c r="A6" s="125">
        <v>22957</v>
      </c>
      <c r="B6" s="126" t="s">
        <v>1580</v>
      </c>
      <c r="C6" s="126" t="s">
        <v>1250</v>
      </c>
      <c r="D6" s="134" t="s">
        <v>1249</v>
      </c>
      <c r="E6" s="134" t="s">
        <v>2</v>
      </c>
      <c r="F6" s="126"/>
      <c r="G6" s="126" t="s">
        <v>204</v>
      </c>
      <c r="H6" s="126" t="s">
        <v>204</v>
      </c>
    </row>
    <row r="7" spans="1:8" ht="13" x14ac:dyDescent="0.6">
      <c r="A7" s="127">
        <v>22697</v>
      </c>
      <c r="B7" s="128" t="s">
        <v>1580</v>
      </c>
      <c r="C7" s="128" t="s">
        <v>1251</v>
      </c>
      <c r="D7" s="135" t="s">
        <v>1249</v>
      </c>
      <c r="E7" s="135" t="s">
        <v>2</v>
      </c>
      <c r="F7" s="128"/>
      <c r="G7" s="128" t="s">
        <v>204</v>
      </c>
      <c r="H7" s="128" t="s">
        <v>204</v>
      </c>
    </row>
    <row r="8" spans="1:8" ht="13" x14ac:dyDescent="0.6">
      <c r="A8" s="125">
        <v>23648</v>
      </c>
      <c r="B8" s="126" t="s">
        <v>1580</v>
      </c>
      <c r="C8" s="126" t="s">
        <v>1252</v>
      </c>
      <c r="D8" s="134" t="s">
        <v>304</v>
      </c>
      <c r="E8" s="134" t="s">
        <v>2</v>
      </c>
      <c r="F8" s="126"/>
      <c r="G8" s="126" t="s">
        <v>204</v>
      </c>
      <c r="H8" s="126" t="s">
        <v>204</v>
      </c>
    </row>
    <row r="9" spans="1:8" ht="13" x14ac:dyDescent="0.6">
      <c r="A9" s="127">
        <v>22579</v>
      </c>
      <c r="B9" s="128" t="s">
        <v>1580</v>
      </c>
      <c r="C9" s="128" t="s">
        <v>1253</v>
      </c>
      <c r="D9" s="135" t="s">
        <v>304</v>
      </c>
      <c r="E9" s="135" t="s">
        <v>2</v>
      </c>
      <c r="F9" s="128"/>
      <c r="G9" s="128" t="s">
        <v>204</v>
      </c>
      <c r="H9" s="128" t="s">
        <v>204</v>
      </c>
    </row>
    <row r="10" spans="1:8" ht="26" x14ac:dyDescent="0.6">
      <c r="A10" s="125">
        <v>22397</v>
      </c>
      <c r="B10" s="126" t="s">
        <v>1580</v>
      </c>
      <c r="C10" s="126" t="s">
        <v>1254</v>
      </c>
      <c r="D10" s="134" t="s">
        <v>304</v>
      </c>
      <c r="E10" s="44" t="s">
        <v>1255</v>
      </c>
      <c r="F10" s="126"/>
      <c r="G10" s="126" t="s">
        <v>204</v>
      </c>
      <c r="H10" s="126" t="s">
        <v>204</v>
      </c>
    </row>
    <row r="11" spans="1:8" ht="26.25" customHeight="1" x14ac:dyDescent="0.6">
      <c r="A11" s="127">
        <v>23034</v>
      </c>
      <c r="B11" s="128" t="s">
        <v>1581</v>
      </c>
      <c r="C11" s="128" t="s">
        <v>1256</v>
      </c>
      <c r="D11" s="135" t="s">
        <v>1249</v>
      </c>
      <c r="E11" s="44" t="s">
        <v>1255</v>
      </c>
      <c r="F11" s="128">
        <v>1</v>
      </c>
      <c r="G11" s="136">
        <v>23170</v>
      </c>
      <c r="H11" s="128" t="s">
        <v>1525</v>
      </c>
    </row>
    <row r="12" spans="1:8" ht="13" x14ac:dyDescent="0.6">
      <c r="A12" s="129"/>
      <c r="B12" s="126"/>
      <c r="C12" s="126"/>
      <c r="D12" s="134"/>
      <c r="E12" s="134"/>
      <c r="F12" s="126">
        <v>1</v>
      </c>
      <c r="G12" s="137">
        <v>23171</v>
      </c>
      <c r="H12" s="126" t="s">
        <v>1257</v>
      </c>
    </row>
    <row r="13" spans="1:8" ht="13" x14ac:dyDescent="0.6">
      <c r="A13" s="127">
        <v>22960</v>
      </c>
      <c r="B13" s="128" t="s">
        <v>1581</v>
      </c>
      <c r="C13" s="128" t="s">
        <v>1258</v>
      </c>
      <c r="D13" s="135" t="s">
        <v>304</v>
      </c>
      <c r="E13" s="135" t="s">
        <v>2</v>
      </c>
      <c r="F13" s="128"/>
      <c r="G13" s="128" t="s">
        <v>204</v>
      </c>
      <c r="H13" s="128" t="s">
        <v>204</v>
      </c>
    </row>
    <row r="14" spans="1:8" ht="13" x14ac:dyDescent="0.6">
      <c r="A14" s="125">
        <v>23135</v>
      </c>
      <c r="B14" s="126" t="s">
        <v>1582</v>
      </c>
      <c r="C14" s="126" t="s">
        <v>1259</v>
      </c>
      <c r="D14" s="134" t="s">
        <v>1249</v>
      </c>
      <c r="E14" s="134" t="s">
        <v>2</v>
      </c>
      <c r="F14" s="126"/>
      <c r="G14" s="126" t="s">
        <v>204</v>
      </c>
      <c r="H14" s="126" t="s">
        <v>204</v>
      </c>
    </row>
    <row r="15" spans="1:8" ht="13" x14ac:dyDescent="0.6">
      <c r="A15" s="127">
        <v>16543</v>
      </c>
      <c r="B15" s="128" t="s">
        <v>1582</v>
      </c>
      <c r="C15" s="128" t="s">
        <v>1260</v>
      </c>
      <c r="D15" s="135" t="s">
        <v>1261</v>
      </c>
      <c r="E15" s="135" t="s">
        <v>2</v>
      </c>
      <c r="F15" s="128"/>
      <c r="G15" s="128" t="s">
        <v>204</v>
      </c>
      <c r="H15" s="128" t="s">
        <v>204</v>
      </c>
    </row>
    <row r="16" spans="1:8" ht="13" x14ac:dyDescent="0.6">
      <c r="A16" s="125">
        <v>24798</v>
      </c>
      <c r="B16" s="126" t="s">
        <v>1582</v>
      </c>
      <c r="C16" s="126" t="s">
        <v>1262</v>
      </c>
      <c r="D16" s="134" t="s">
        <v>304</v>
      </c>
      <c r="E16" s="134" t="s">
        <v>2</v>
      </c>
      <c r="F16" s="126"/>
      <c r="G16" s="126" t="s">
        <v>204</v>
      </c>
      <c r="H16" s="126" t="s">
        <v>204</v>
      </c>
    </row>
    <row r="17" spans="1:8" ht="13" x14ac:dyDescent="0.6">
      <c r="A17" s="127">
        <v>24044</v>
      </c>
      <c r="B17" s="128" t="s">
        <v>1582</v>
      </c>
      <c r="C17" s="128" t="s">
        <v>1263</v>
      </c>
      <c r="D17" s="135" t="s">
        <v>304</v>
      </c>
      <c r="E17" s="135" t="s">
        <v>2</v>
      </c>
      <c r="F17" s="128"/>
      <c r="G17" s="128" t="s">
        <v>204</v>
      </c>
      <c r="H17" s="128" t="s">
        <v>204</v>
      </c>
    </row>
    <row r="18" spans="1:8" ht="13" x14ac:dyDescent="0.6">
      <c r="A18" s="125">
        <v>24800</v>
      </c>
      <c r="B18" s="126" t="s">
        <v>1583</v>
      </c>
      <c r="C18" s="126" t="s">
        <v>1264</v>
      </c>
      <c r="D18" s="134" t="s">
        <v>304</v>
      </c>
      <c r="E18" s="134" t="s">
        <v>2</v>
      </c>
      <c r="F18" s="126"/>
      <c r="G18" s="126" t="s">
        <v>204</v>
      </c>
      <c r="H18" s="126" t="s">
        <v>204</v>
      </c>
    </row>
    <row r="19" spans="1:8" ht="26" x14ac:dyDescent="0.6">
      <c r="A19" s="127">
        <v>25101</v>
      </c>
      <c r="B19" s="128" t="s">
        <v>1584</v>
      </c>
      <c r="C19" s="128" t="s">
        <v>1265</v>
      </c>
      <c r="D19" s="135" t="s">
        <v>1249</v>
      </c>
      <c r="E19" s="44" t="s">
        <v>1266</v>
      </c>
      <c r="F19" s="128"/>
      <c r="G19" s="136">
        <v>25102</v>
      </c>
      <c r="H19" s="128" t="s">
        <v>1772</v>
      </c>
    </row>
    <row r="20" spans="1:8" ht="13" x14ac:dyDescent="0.6">
      <c r="A20" s="125">
        <v>24457</v>
      </c>
      <c r="B20" s="126" t="s">
        <v>1584</v>
      </c>
      <c r="C20" s="126" t="s">
        <v>1267</v>
      </c>
      <c r="D20" s="134" t="s">
        <v>304</v>
      </c>
      <c r="E20" s="134" t="s">
        <v>2</v>
      </c>
      <c r="F20" s="126"/>
      <c r="G20" s="126" t="s">
        <v>204</v>
      </c>
      <c r="H20" s="126" t="s">
        <v>204</v>
      </c>
    </row>
    <row r="21" spans="1:8" ht="13" x14ac:dyDescent="0.6">
      <c r="A21" s="127">
        <v>23620</v>
      </c>
      <c r="B21" s="128" t="s">
        <v>1584</v>
      </c>
      <c r="C21" s="128" t="s">
        <v>1268</v>
      </c>
      <c r="D21" s="135" t="s">
        <v>304</v>
      </c>
      <c r="E21" s="135" t="s">
        <v>2</v>
      </c>
      <c r="F21" s="128"/>
      <c r="G21" s="128" t="s">
        <v>204</v>
      </c>
      <c r="H21" s="128" t="s">
        <v>204</v>
      </c>
    </row>
    <row r="22" spans="1:8" ht="13" x14ac:dyDescent="0.6">
      <c r="A22" s="125">
        <v>23548</v>
      </c>
      <c r="B22" s="126" t="s">
        <v>1584</v>
      </c>
      <c r="C22" s="126" t="s">
        <v>1269</v>
      </c>
      <c r="D22" s="134" t="s">
        <v>304</v>
      </c>
      <c r="E22" s="134" t="s">
        <v>2</v>
      </c>
      <c r="F22" s="126"/>
      <c r="G22" s="126" t="s">
        <v>204</v>
      </c>
      <c r="H22" s="126" t="s">
        <v>204</v>
      </c>
    </row>
    <row r="23" spans="1:8" ht="13" x14ac:dyDescent="0.6">
      <c r="A23" s="127">
        <v>23624</v>
      </c>
      <c r="B23" s="128" t="s">
        <v>1585</v>
      </c>
      <c r="C23" s="128" t="s">
        <v>1270</v>
      </c>
      <c r="D23" s="135" t="s">
        <v>1249</v>
      </c>
      <c r="E23" s="135" t="s">
        <v>2</v>
      </c>
      <c r="F23" s="128"/>
      <c r="G23" s="128" t="s">
        <v>204</v>
      </c>
      <c r="H23" s="128" t="s">
        <v>204</v>
      </c>
    </row>
    <row r="24" spans="1:8" ht="26.25" customHeight="1" x14ac:dyDescent="0.6">
      <c r="A24" s="125">
        <v>17736</v>
      </c>
      <c r="B24" s="126" t="s">
        <v>1585</v>
      </c>
      <c r="C24" s="126" t="s">
        <v>1271</v>
      </c>
      <c r="D24" s="134" t="s">
        <v>1272</v>
      </c>
      <c r="E24" s="44" t="s">
        <v>1255</v>
      </c>
      <c r="F24" s="126">
        <v>4</v>
      </c>
      <c r="G24" s="137">
        <v>23499</v>
      </c>
      <c r="H24" s="126" t="s">
        <v>1524</v>
      </c>
    </row>
    <row r="25" spans="1:8" ht="13" x14ac:dyDescent="0.6">
      <c r="A25" s="130"/>
      <c r="B25" s="128"/>
      <c r="C25" s="128"/>
      <c r="D25" s="135"/>
      <c r="E25" s="135"/>
      <c r="F25" s="128">
        <v>4</v>
      </c>
      <c r="G25" s="136">
        <v>24275</v>
      </c>
      <c r="H25" s="128" t="s">
        <v>1273</v>
      </c>
    </row>
    <row r="26" spans="1:8" ht="13" x14ac:dyDescent="0.6">
      <c r="A26" s="125">
        <v>23549</v>
      </c>
      <c r="B26" s="126" t="s">
        <v>1585</v>
      </c>
      <c r="C26" s="126" t="s">
        <v>1274</v>
      </c>
      <c r="D26" s="134" t="s">
        <v>304</v>
      </c>
      <c r="E26" s="134" t="s">
        <v>2</v>
      </c>
      <c r="F26" s="126"/>
      <c r="G26" s="126" t="s">
        <v>204</v>
      </c>
      <c r="H26" s="126" t="s">
        <v>204</v>
      </c>
    </row>
    <row r="27" spans="1:8" ht="13" x14ac:dyDescent="0.6">
      <c r="A27" s="127">
        <v>23508</v>
      </c>
      <c r="B27" s="128" t="s">
        <v>1585</v>
      </c>
      <c r="C27" s="128" t="s">
        <v>1275</v>
      </c>
      <c r="D27" s="135" t="s">
        <v>304</v>
      </c>
      <c r="E27" s="135" t="s">
        <v>2</v>
      </c>
      <c r="F27" s="128"/>
      <c r="G27" s="128" t="s">
        <v>204</v>
      </c>
      <c r="H27" s="128" t="s">
        <v>204</v>
      </c>
    </row>
    <row r="28" spans="1:8" ht="13" x14ac:dyDescent="0.6">
      <c r="A28" s="125">
        <v>23127</v>
      </c>
      <c r="B28" s="126" t="s">
        <v>1585</v>
      </c>
      <c r="C28" s="126" t="s">
        <v>1276</v>
      </c>
      <c r="D28" s="134" t="s">
        <v>304</v>
      </c>
      <c r="E28" s="134" t="s">
        <v>2</v>
      </c>
      <c r="F28" s="126"/>
      <c r="G28" s="126" t="s">
        <v>204</v>
      </c>
      <c r="H28" s="126" t="s">
        <v>204</v>
      </c>
    </row>
    <row r="29" spans="1:8" ht="26" x14ac:dyDescent="0.6">
      <c r="A29" s="127">
        <v>22262</v>
      </c>
      <c r="B29" s="128" t="s">
        <v>1586</v>
      </c>
      <c r="C29" s="128" t="s">
        <v>1277</v>
      </c>
      <c r="D29" s="135"/>
      <c r="E29" s="44" t="s">
        <v>1255</v>
      </c>
      <c r="F29" s="128">
        <v>3</v>
      </c>
      <c r="G29" s="136">
        <v>22388</v>
      </c>
      <c r="H29" s="128" t="s">
        <v>1526</v>
      </c>
    </row>
    <row r="30" spans="1:8" ht="26" x14ac:dyDescent="0.6">
      <c r="A30" s="125">
        <v>23739</v>
      </c>
      <c r="B30" s="126" t="s">
        <v>1586</v>
      </c>
      <c r="C30" s="126" t="s">
        <v>1278</v>
      </c>
      <c r="D30" s="134" t="s">
        <v>1249</v>
      </c>
      <c r="E30" s="44" t="s">
        <v>1255</v>
      </c>
      <c r="F30" s="126">
        <v>2</v>
      </c>
      <c r="G30" s="137">
        <v>23981</v>
      </c>
      <c r="H30" s="126" t="s">
        <v>1527</v>
      </c>
    </row>
    <row r="31" spans="1:8" ht="26" x14ac:dyDescent="0.6">
      <c r="A31" s="127">
        <v>23579</v>
      </c>
      <c r="B31" s="128" t="s">
        <v>1586</v>
      </c>
      <c r="C31" s="128" t="s">
        <v>1279</v>
      </c>
      <c r="D31" s="135" t="s">
        <v>1249</v>
      </c>
      <c r="E31" s="44" t="s">
        <v>1255</v>
      </c>
      <c r="F31" s="128">
        <v>3</v>
      </c>
      <c r="G31" s="136">
        <v>24051</v>
      </c>
      <c r="H31" s="128" t="s">
        <v>1528</v>
      </c>
    </row>
    <row r="32" spans="1:8" ht="26" x14ac:dyDescent="0.6">
      <c r="A32" s="125">
        <v>23219</v>
      </c>
      <c r="B32" s="126" t="s">
        <v>1586</v>
      </c>
      <c r="C32" s="126" t="s">
        <v>1280</v>
      </c>
      <c r="D32" s="134" t="s">
        <v>1249</v>
      </c>
      <c r="E32" s="44" t="s">
        <v>1255</v>
      </c>
      <c r="F32" s="126"/>
      <c r="G32" s="126" t="s">
        <v>204</v>
      </c>
      <c r="H32" s="126" t="s">
        <v>204</v>
      </c>
    </row>
    <row r="33" spans="1:8" ht="26" x14ac:dyDescent="0.6">
      <c r="A33" s="127">
        <v>23064</v>
      </c>
      <c r="B33" s="128" t="s">
        <v>1586</v>
      </c>
      <c r="C33" s="128" t="s">
        <v>1281</v>
      </c>
      <c r="D33" s="135" t="s">
        <v>1249</v>
      </c>
      <c r="E33" s="44" t="s">
        <v>1255</v>
      </c>
      <c r="F33" s="128">
        <v>2</v>
      </c>
      <c r="G33" s="136">
        <v>23117</v>
      </c>
      <c r="H33" s="128" t="s">
        <v>1773</v>
      </c>
    </row>
    <row r="34" spans="1:8" ht="13" x14ac:dyDescent="0.6">
      <c r="A34" s="125">
        <v>22839</v>
      </c>
      <c r="B34" s="126" t="s">
        <v>1586</v>
      </c>
      <c r="C34" s="126" t="s">
        <v>1282</v>
      </c>
      <c r="D34" s="134" t="s">
        <v>1249</v>
      </c>
      <c r="E34" s="134" t="s">
        <v>2</v>
      </c>
      <c r="F34" s="126"/>
      <c r="G34" s="126" t="s">
        <v>204</v>
      </c>
      <c r="H34" s="126" t="s">
        <v>204</v>
      </c>
    </row>
    <row r="35" spans="1:8" ht="26" x14ac:dyDescent="0.6">
      <c r="A35" s="127">
        <v>15466</v>
      </c>
      <c r="B35" s="128" t="s">
        <v>1586</v>
      </c>
      <c r="C35" s="128" t="s">
        <v>1283</v>
      </c>
      <c r="D35" s="135" t="s">
        <v>1249</v>
      </c>
      <c r="E35" s="44" t="s">
        <v>1255</v>
      </c>
      <c r="F35" s="128">
        <v>4</v>
      </c>
      <c r="G35" s="136">
        <v>24670</v>
      </c>
      <c r="H35" s="128" t="s">
        <v>1529</v>
      </c>
    </row>
    <row r="36" spans="1:8" ht="26" x14ac:dyDescent="0.6">
      <c r="A36" s="125">
        <v>23054</v>
      </c>
      <c r="B36" s="126" t="s">
        <v>1586</v>
      </c>
      <c r="C36" s="126" t="s">
        <v>1284</v>
      </c>
      <c r="D36" s="134" t="s">
        <v>1261</v>
      </c>
      <c r="E36" s="44" t="s">
        <v>1255</v>
      </c>
      <c r="F36" s="126">
        <v>4</v>
      </c>
      <c r="G36" s="137">
        <v>23468</v>
      </c>
      <c r="H36" s="126" t="s">
        <v>1530</v>
      </c>
    </row>
    <row r="37" spans="1:8" ht="26" x14ac:dyDescent="0.6">
      <c r="A37" s="127">
        <v>24402</v>
      </c>
      <c r="B37" s="128" t="s">
        <v>1586</v>
      </c>
      <c r="C37" s="128" t="s">
        <v>1285</v>
      </c>
      <c r="D37" s="135" t="s">
        <v>1272</v>
      </c>
      <c r="E37" s="44" t="s">
        <v>1255</v>
      </c>
      <c r="F37" s="128"/>
      <c r="G37" s="136">
        <v>24021</v>
      </c>
      <c r="H37" s="128" t="s">
        <v>1531</v>
      </c>
    </row>
    <row r="38" spans="1:8" ht="13" x14ac:dyDescent="0.6">
      <c r="A38" s="129"/>
      <c r="B38" s="126"/>
      <c r="C38" s="126"/>
      <c r="D38" s="134"/>
      <c r="E38" s="134"/>
      <c r="F38" s="126"/>
      <c r="G38" s="137">
        <v>24577</v>
      </c>
      <c r="H38" s="126" t="s">
        <v>1774</v>
      </c>
    </row>
    <row r="39" spans="1:8" ht="13" x14ac:dyDescent="0.6">
      <c r="A39" s="127">
        <v>24786</v>
      </c>
      <c r="B39" s="128" t="s">
        <v>1586</v>
      </c>
      <c r="C39" s="128" t="s">
        <v>1286</v>
      </c>
      <c r="D39" s="135" t="s">
        <v>304</v>
      </c>
      <c r="E39" s="135" t="s">
        <v>2</v>
      </c>
      <c r="F39" s="128"/>
      <c r="G39" s="128" t="s">
        <v>204</v>
      </c>
      <c r="H39" s="128" t="s">
        <v>204</v>
      </c>
    </row>
    <row r="40" spans="1:8" ht="13" x14ac:dyDescent="0.6">
      <c r="A40" s="125">
        <v>24675</v>
      </c>
      <c r="B40" s="126" t="s">
        <v>1586</v>
      </c>
      <c r="C40" s="126" t="s">
        <v>1287</v>
      </c>
      <c r="D40" s="134" t="s">
        <v>304</v>
      </c>
      <c r="E40" s="134" t="s">
        <v>2</v>
      </c>
      <c r="F40" s="126"/>
      <c r="G40" s="126" t="s">
        <v>204</v>
      </c>
      <c r="H40" s="126" t="s">
        <v>204</v>
      </c>
    </row>
    <row r="41" spans="1:8" ht="13" x14ac:dyDescent="0.6">
      <c r="A41" s="127">
        <v>24582</v>
      </c>
      <c r="B41" s="128" t="s">
        <v>1586</v>
      </c>
      <c r="C41" s="128" t="s">
        <v>1288</v>
      </c>
      <c r="D41" s="135" t="s">
        <v>304</v>
      </c>
      <c r="E41" s="135" t="s">
        <v>2</v>
      </c>
      <c r="F41" s="128"/>
      <c r="G41" s="128" t="s">
        <v>204</v>
      </c>
      <c r="H41" s="128" t="s">
        <v>204</v>
      </c>
    </row>
    <row r="42" spans="1:8" ht="13" x14ac:dyDescent="0.6">
      <c r="A42" s="125">
        <v>24171</v>
      </c>
      <c r="B42" s="126" t="s">
        <v>1586</v>
      </c>
      <c r="C42" s="126" t="s">
        <v>1289</v>
      </c>
      <c r="D42" s="134" t="s">
        <v>304</v>
      </c>
      <c r="E42" s="134" t="s">
        <v>2</v>
      </c>
      <c r="F42" s="126"/>
      <c r="G42" s="126" t="s">
        <v>204</v>
      </c>
      <c r="H42" s="126" t="s">
        <v>204</v>
      </c>
    </row>
    <row r="43" spans="1:8" ht="13" x14ac:dyDescent="0.6">
      <c r="A43" s="127">
        <v>24042</v>
      </c>
      <c r="B43" s="128" t="s">
        <v>1586</v>
      </c>
      <c r="C43" s="128" t="s">
        <v>1290</v>
      </c>
      <c r="D43" s="135" t="s">
        <v>304</v>
      </c>
      <c r="E43" s="135" t="s">
        <v>2</v>
      </c>
      <c r="F43" s="128"/>
      <c r="G43" s="128" t="s">
        <v>204</v>
      </c>
      <c r="H43" s="128" t="s">
        <v>204</v>
      </c>
    </row>
    <row r="44" spans="1:8" ht="13" x14ac:dyDescent="0.6">
      <c r="A44" s="125">
        <v>23578</v>
      </c>
      <c r="B44" s="126" t="s">
        <v>1586</v>
      </c>
      <c r="C44" s="126" t="s">
        <v>1291</v>
      </c>
      <c r="D44" s="134" t="s">
        <v>304</v>
      </c>
      <c r="E44" s="134" t="s">
        <v>2</v>
      </c>
      <c r="F44" s="126"/>
      <c r="G44" s="126" t="s">
        <v>204</v>
      </c>
      <c r="H44" s="126" t="s">
        <v>204</v>
      </c>
    </row>
    <row r="45" spans="1:8" ht="13" x14ac:dyDescent="0.6">
      <c r="A45" s="127">
        <v>22926</v>
      </c>
      <c r="B45" s="128" t="s">
        <v>1586</v>
      </c>
      <c r="C45" s="128" t="s">
        <v>1292</v>
      </c>
      <c r="D45" s="135" t="s">
        <v>304</v>
      </c>
      <c r="E45" s="135" t="s">
        <v>2</v>
      </c>
      <c r="F45" s="128"/>
      <c r="G45" s="128" t="s">
        <v>204</v>
      </c>
      <c r="H45" s="128" t="s">
        <v>204</v>
      </c>
    </row>
    <row r="46" spans="1:8" ht="13" x14ac:dyDescent="0.6">
      <c r="A46" s="125">
        <v>20613</v>
      </c>
      <c r="B46" s="126" t="s">
        <v>1586</v>
      </c>
      <c r="C46" s="126" t="s">
        <v>1293</v>
      </c>
      <c r="D46" s="134" t="s">
        <v>304</v>
      </c>
      <c r="E46" s="134" t="s">
        <v>2</v>
      </c>
      <c r="F46" s="126"/>
      <c r="G46" s="126" t="s">
        <v>204</v>
      </c>
      <c r="H46" s="126" t="s">
        <v>204</v>
      </c>
    </row>
    <row r="47" spans="1:8" ht="13" x14ac:dyDescent="0.6">
      <c r="A47" s="127">
        <v>22490</v>
      </c>
      <c r="B47" s="128" t="s">
        <v>1587</v>
      </c>
      <c r="C47" s="128" t="s">
        <v>1294</v>
      </c>
      <c r="D47" s="135" t="s">
        <v>1249</v>
      </c>
      <c r="E47" s="135" t="s">
        <v>2</v>
      </c>
      <c r="F47" s="128"/>
      <c r="G47" s="128" t="s">
        <v>204</v>
      </c>
      <c r="H47" s="128" t="s">
        <v>204</v>
      </c>
    </row>
    <row r="48" spans="1:8" ht="25.5" customHeight="1" x14ac:dyDescent="0.6">
      <c r="A48" s="125">
        <v>22488</v>
      </c>
      <c r="B48" s="126" t="s">
        <v>1587</v>
      </c>
      <c r="C48" s="126" t="s">
        <v>1295</v>
      </c>
      <c r="D48" s="134" t="s">
        <v>1249</v>
      </c>
      <c r="E48" s="134" t="s">
        <v>2</v>
      </c>
      <c r="F48" s="126"/>
      <c r="G48" s="126" t="s">
        <v>204</v>
      </c>
      <c r="H48" s="126" t="s">
        <v>204</v>
      </c>
    </row>
    <row r="49" spans="1:8" ht="13" x14ac:dyDescent="0.6">
      <c r="A49" s="127">
        <v>22489</v>
      </c>
      <c r="B49" s="128" t="s">
        <v>1587</v>
      </c>
      <c r="C49" s="128" t="s">
        <v>1296</v>
      </c>
      <c r="D49" s="135" t="s">
        <v>304</v>
      </c>
      <c r="E49" s="135" t="s">
        <v>2</v>
      </c>
      <c r="F49" s="128"/>
      <c r="G49" s="128" t="s">
        <v>204</v>
      </c>
      <c r="H49" s="128" t="s">
        <v>204</v>
      </c>
    </row>
    <row r="50" spans="1:8" ht="13" x14ac:dyDescent="0.6">
      <c r="A50" s="125">
        <v>24797</v>
      </c>
      <c r="B50" s="126" t="s">
        <v>1588</v>
      </c>
      <c r="C50" s="126" t="s">
        <v>1297</v>
      </c>
      <c r="D50" s="134" t="s">
        <v>1249</v>
      </c>
      <c r="E50" s="134" t="s">
        <v>2</v>
      </c>
      <c r="F50" s="126"/>
      <c r="G50" s="126" t="s">
        <v>204</v>
      </c>
      <c r="H50" s="126" t="s">
        <v>204</v>
      </c>
    </row>
    <row r="51" spans="1:8" ht="13" x14ac:dyDescent="0.6">
      <c r="A51" s="127">
        <v>23627</v>
      </c>
      <c r="B51" s="128" t="s">
        <v>1589</v>
      </c>
      <c r="C51" s="128" t="s">
        <v>1298</v>
      </c>
      <c r="D51" s="135" t="s">
        <v>304</v>
      </c>
      <c r="E51" s="135" t="s">
        <v>2</v>
      </c>
      <c r="F51" s="128"/>
      <c r="G51" s="128" t="s">
        <v>204</v>
      </c>
      <c r="H51" s="128" t="s">
        <v>204</v>
      </c>
    </row>
    <row r="52" spans="1:8" ht="13" x14ac:dyDescent="0.6">
      <c r="A52" s="125">
        <v>23260</v>
      </c>
      <c r="B52" s="126" t="s">
        <v>1589</v>
      </c>
      <c r="C52" s="126" t="s">
        <v>1299</v>
      </c>
      <c r="D52" s="134" t="s">
        <v>304</v>
      </c>
      <c r="E52" s="134" t="s">
        <v>2</v>
      </c>
      <c r="F52" s="126"/>
      <c r="G52" s="126" t="s">
        <v>204</v>
      </c>
      <c r="H52" s="126" t="s">
        <v>204</v>
      </c>
    </row>
    <row r="53" spans="1:8" ht="12.75" customHeight="1" x14ac:dyDescent="0.6">
      <c r="A53" s="127">
        <v>23991</v>
      </c>
      <c r="B53" s="128" t="s">
        <v>1590</v>
      </c>
      <c r="C53" s="128" t="s">
        <v>1300</v>
      </c>
      <c r="D53" s="135" t="s">
        <v>1261</v>
      </c>
      <c r="E53" s="135" t="s">
        <v>2</v>
      </c>
      <c r="F53" s="128"/>
      <c r="G53" s="128" t="s">
        <v>204</v>
      </c>
      <c r="H53" s="128" t="s">
        <v>204</v>
      </c>
    </row>
    <row r="54" spans="1:8" ht="13" x14ac:dyDescent="0.6">
      <c r="A54" s="125">
        <v>22641</v>
      </c>
      <c r="B54" s="126" t="s">
        <v>1590</v>
      </c>
      <c r="C54" s="126" t="s">
        <v>1301</v>
      </c>
      <c r="D54" s="134" t="s">
        <v>1261</v>
      </c>
      <c r="E54" s="134" t="s">
        <v>2</v>
      </c>
      <c r="F54" s="126"/>
      <c r="G54" s="126" t="s">
        <v>204</v>
      </c>
      <c r="H54" s="126" t="s">
        <v>204</v>
      </c>
    </row>
    <row r="55" spans="1:8" ht="13" x14ac:dyDescent="0.6">
      <c r="A55" s="127">
        <v>24217</v>
      </c>
      <c r="B55" s="128" t="s">
        <v>1590</v>
      </c>
      <c r="C55" s="128" t="s">
        <v>1302</v>
      </c>
      <c r="D55" s="135" t="s">
        <v>304</v>
      </c>
      <c r="E55" s="135" t="s">
        <v>2</v>
      </c>
      <c r="F55" s="128"/>
      <c r="G55" s="128" t="s">
        <v>204</v>
      </c>
      <c r="H55" s="128" t="s">
        <v>204</v>
      </c>
    </row>
    <row r="56" spans="1:8" ht="13" x14ac:dyDescent="0.6">
      <c r="A56" s="125">
        <v>23048</v>
      </c>
      <c r="B56" s="126" t="s">
        <v>1590</v>
      </c>
      <c r="C56" s="126" t="s">
        <v>1303</v>
      </c>
      <c r="D56" s="134" t="s">
        <v>304</v>
      </c>
      <c r="E56" s="134" t="s">
        <v>2</v>
      </c>
      <c r="F56" s="126">
        <v>4</v>
      </c>
      <c r="G56" s="137">
        <v>22166</v>
      </c>
      <c r="H56" s="126" t="s">
        <v>1532</v>
      </c>
    </row>
    <row r="57" spans="1:8" ht="13" x14ac:dyDescent="0.6">
      <c r="A57" s="130"/>
      <c r="B57" s="128"/>
      <c r="C57" s="128"/>
      <c r="D57" s="135"/>
      <c r="E57" s="135"/>
      <c r="F57" s="128">
        <v>4</v>
      </c>
      <c r="G57" s="136">
        <v>23052</v>
      </c>
      <c r="H57" s="128" t="s">
        <v>1304</v>
      </c>
    </row>
    <row r="58" spans="1:8" ht="13" x14ac:dyDescent="0.6">
      <c r="A58" s="125">
        <v>22693</v>
      </c>
      <c r="B58" s="126" t="s">
        <v>1590</v>
      </c>
      <c r="C58" s="126" t="s">
        <v>1305</v>
      </c>
      <c r="D58" s="134" t="s">
        <v>304</v>
      </c>
      <c r="E58" s="134" t="s">
        <v>2</v>
      </c>
      <c r="F58" s="126"/>
      <c r="G58" s="126" t="s">
        <v>204</v>
      </c>
      <c r="H58" s="126" t="s">
        <v>204</v>
      </c>
    </row>
    <row r="59" spans="1:8" ht="13" x14ac:dyDescent="0.6">
      <c r="A59" s="127">
        <v>22594</v>
      </c>
      <c r="B59" s="128" t="s">
        <v>1590</v>
      </c>
      <c r="C59" s="128" t="s">
        <v>1306</v>
      </c>
      <c r="D59" s="135" t="s">
        <v>304</v>
      </c>
      <c r="E59" s="135" t="s">
        <v>2</v>
      </c>
      <c r="F59" s="128"/>
      <c r="G59" s="128" t="s">
        <v>204</v>
      </c>
      <c r="H59" s="128" t="s">
        <v>204</v>
      </c>
    </row>
    <row r="60" spans="1:8" ht="13" x14ac:dyDescent="0.6">
      <c r="A60" s="125">
        <v>22535</v>
      </c>
      <c r="B60" s="126" t="s">
        <v>1590</v>
      </c>
      <c r="C60" s="126" t="s">
        <v>1307</v>
      </c>
      <c r="D60" s="134" t="s">
        <v>304</v>
      </c>
      <c r="E60" s="134" t="s">
        <v>2</v>
      </c>
      <c r="F60" s="126"/>
      <c r="G60" s="126" t="s">
        <v>204</v>
      </c>
      <c r="H60" s="126" t="s">
        <v>204</v>
      </c>
    </row>
    <row r="61" spans="1:8" ht="13" x14ac:dyDescent="0.6">
      <c r="A61" s="127">
        <v>22534</v>
      </c>
      <c r="B61" s="128" t="s">
        <v>1590</v>
      </c>
      <c r="C61" s="128" t="s">
        <v>1308</v>
      </c>
      <c r="D61" s="135" t="s">
        <v>304</v>
      </c>
      <c r="E61" s="135" t="s">
        <v>2</v>
      </c>
      <c r="F61" s="128"/>
      <c r="G61" s="128" t="s">
        <v>204</v>
      </c>
      <c r="H61" s="128" t="s">
        <v>204</v>
      </c>
    </row>
    <row r="62" spans="1:8" ht="26" x14ac:dyDescent="0.6">
      <c r="A62" s="125">
        <v>24440</v>
      </c>
      <c r="B62" s="126" t="s">
        <v>1591</v>
      </c>
      <c r="C62" s="126" t="s">
        <v>1309</v>
      </c>
      <c r="D62" s="134" t="s">
        <v>304</v>
      </c>
      <c r="E62" s="44" t="s">
        <v>1255</v>
      </c>
      <c r="F62" s="126">
        <v>1</v>
      </c>
      <c r="G62" s="137">
        <v>24514</v>
      </c>
      <c r="H62" s="126" t="s">
        <v>1310</v>
      </c>
    </row>
    <row r="63" spans="1:8" ht="13" x14ac:dyDescent="0.6">
      <c r="A63" s="127">
        <v>23631</v>
      </c>
      <c r="B63" s="128" t="s">
        <v>1591</v>
      </c>
      <c r="C63" s="128" t="s">
        <v>1311</v>
      </c>
      <c r="D63" s="135" t="s">
        <v>304</v>
      </c>
      <c r="E63" s="135" t="s">
        <v>2</v>
      </c>
      <c r="F63" s="128"/>
      <c r="G63" s="128" t="s">
        <v>204</v>
      </c>
      <c r="H63" s="128" t="s">
        <v>204</v>
      </c>
    </row>
    <row r="64" spans="1:8" ht="13" x14ac:dyDescent="0.6">
      <c r="A64" s="125">
        <v>23630</v>
      </c>
      <c r="B64" s="126" t="s">
        <v>1591</v>
      </c>
      <c r="C64" s="126" t="s">
        <v>1312</v>
      </c>
      <c r="D64" s="134" t="s">
        <v>304</v>
      </c>
      <c r="E64" s="134" t="s">
        <v>2</v>
      </c>
      <c r="F64" s="126"/>
      <c r="G64" s="126" t="s">
        <v>204</v>
      </c>
      <c r="H64" s="126" t="s">
        <v>204</v>
      </c>
    </row>
    <row r="65" spans="1:8" ht="13" x14ac:dyDescent="0.6">
      <c r="A65" s="127">
        <v>22875</v>
      </c>
      <c r="B65" s="128" t="s">
        <v>1591</v>
      </c>
      <c r="C65" s="128" t="s">
        <v>1313</v>
      </c>
      <c r="D65" s="135" t="s">
        <v>304</v>
      </c>
      <c r="E65" s="135" t="s">
        <v>2</v>
      </c>
      <c r="F65" s="128"/>
      <c r="G65" s="128" t="s">
        <v>204</v>
      </c>
      <c r="H65" s="128" t="s">
        <v>204</v>
      </c>
    </row>
    <row r="66" spans="1:8" ht="13" x14ac:dyDescent="0.6">
      <c r="A66" s="125">
        <v>22536</v>
      </c>
      <c r="B66" s="126" t="s">
        <v>1591</v>
      </c>
      <c r="C66" s="126" t="s">
        <v>1307</v>
      </c>
      <c r="D66" s="134" t="s">
        <v>304</v>
      </c>
      <c r="E66" s="134" t="s">
        <v>2</v>
      </c>
      <c r="F66" s="126"/>
      <c r="G66" s="126" t="s">
        <v>204</v>
      </c>
      <c r="H66" s="126" t="s">
        <v>204</v>
      </c>
    </row>
    <row r="67" spans="1:8" ht="13" x14ac:dyDescent="0.6">
      <c r="A67" s="127">
        <v>22138</v>
      </c>
      <c r="B67" s="128" t="s">
        <v>1591</v>
      </c>
      <c r="C67" s="128" t="s">
        <v>1314</v>
      </c>
      <c r="D67" s="135" t="s">
        <v>304</v>
      </c>
      <c r="E67" s="135" t="s">
        <v>2</v>
      </c>
      <c r="F67" s="128"/>
      <c r="G67" s="128" t="s">
        <v>204</v>
      </c>
      <c r="H67" s="128" t="s">
        <v>204</v>
      </c>
    </row>
    <row r="68" spans="1:8" ht="13" x14ac:dyDescent="0.6">
      <c r="A68" s="125">
        <v>24762</v>
      </c>
      <c r="B68" s="126" t="s">
        <v>1592</v>
      </c>
      <c r="C68" s="126" t="s">
        <v>1578</v>
      </c>
      <c r="D68" s="134" t="s">
        <v>1249</v>
      </c>
      <c r="E68" s="134" t="s">
        <v>2</v>
      </c>
      <c r="F68" s="126"/>
      <c r="G68" s="126" t="s">
        <v>204</v>
      </c>
      <c r="H68" s="126" t="s">
        <v>204</v>
      </c>
    </row>
    <row r="69" spans="1:8" ht="25.5" customHeight="1" x14ac:dyDescent="0.6">
      <c r="A69" s="127">
        <v>23190</v>
      </c>
      <c r="B69" s="128" t="s">
        <v>1592</v>
      </c>
      <c r="C69" s="128" t="s">
        <v>1315</v>
      </c>
      <c r="D69" s="135" t="s">
        <v>1249</v>
      </c>
      <c r="E69" s="44" t="s">
        <v>1255</v>
      </c>
      <c r="F69" s="128">
        <v>4</v>
      </c>
      <c r="G69" s="136">
        <v>23143</v>
      </c>
      <c r="H69" s="128" t="s">
        <v>1533</v>
      </c>
    </row>
    <row r="70" spans="1:8" ht="13" x14ac:dyDescent="0.6">
      <c r="A70" s="129"/>
      <c r="B70" s="126"/>
      <c r="C70" s="126"/>
      <c r="D70" s="134"/>
      <c r="E70" s="134"/>
      <c r="F70" s="126"/>
      <c r="G70" s="137">
        <v>23580</v>
      </c>
      <c r="H70" s="126" t="s">
        <v>1316</v>
      </c>
    </row>
    <row r="71" spans="1:8" ht="13" x14ac:dyDescent="0.6">
      <c r="A71" s="127">
        <v>22589</v>
      </c>
      <c r="B71" s="128" t="s">
        <v>1592</v>
      </c>
      <c r="C71" s="128" t="s">
        <v>1317</v>
      </c>
      <c r="D71" s="135" t="s">
        <v>1249</v>
      </c>
      <c r="E71" s="135" t="s">
        <v>2</v>
      </c>
      <c r="F71" s="128"/>
      <c r="G71" s="128" t="s">
        <v>204</v>
      </c>
      <c r="H71" s="128" t="s">
        <v>204</v>
      </c>
    </row>
    <row r="72" spans="1:8" ht="26" x14ac:dyDescent="0.6">
      <c r="A72" s="125">
        <v>22492</v>
      </c>
      <c r="B72" s="126" t="s">
        <v>1592</v>
      </c>
      <c r="C72" s="126" t="s">
        <v>1318</v>
      </c>
      <c r="D72" s="134" t="s">
        <v>1249</v>
      </c>
      <c r="E72" s="134" t="s">
        <v>2</v>
      </c>
      <c r="F72" s="126"/>
      <c r="G72" s="126" t="s">
        <v>204</v>
      </c>
      <c r="H72" s="126" t="s">
        <v>204</v>
      </c>
    </row>
    <row r="73" spans="1:8" ht="26" x14ac:dyDescent="0.6">
      <c r="A73" s="127">
        <v>18082</v>
      </c>
      <c r="B73" s="128" t="s">
        <v>1592</v>
      </c>
      <c r="C73" s="128" t="s">
        <v>1319</v>
      </c>
      <c r="D73" s="135" t="s">
        <v>1249</v>
      </c>
      <c r="E73" s="44" t="s">
        <v>1255</v>
      </c>
      <c r="F73" s="128">
        <v>2</v>
      </c>
      <c r="G73" s="136">
        <v>22966</v>
      </c>
      <c r="H73" s="128" t="s">
        <v>1534</v>
      </c>
    </row>
    <row r="74" spans="1:8" ht="13" x14ac:dyDescent="0.6">
      <c r="A74" s="125">
        <v>24620</v>
      </c>
      <c r="B74" s="126" t="s">
        <v>1592</v>
      </c>
      <c r="C74" s="126" t="s">
        <v>1320</v>
      </c>
      <c r="D74" s="134" t="s">
        <v>1261</v>
      </c>
      <c r="E74" s="134" t="s">
        <v>2</v>
      </c>
      <c r="F74" s="126"/>
      <c r="G74" s="126" t="s">
        <v>204</v>
      </c>
      <c r="H74" s="126" t="s">
        <v>204</v>
      </c>
    </row>
    <row r="75" spans="1:8" ht="26" x14ac:dyDescent="0.6">
      <c r="A75" s="127">
        <v>22726</v>
      </c>
      <c r="B75" s="128" t="s">
        <v>1592</v>
      </c>
      <c r="C75" s="128" t="s">
        <v>1321</v>
      </c>
      <c r="D75" s="135" t="s">
        <v>1261</v>
      </c>
      <c r="E75" s="44" t="s">
        <v>1255</v>
      </c>
      <c r="F75" s="128"/>
      <c r="G75" s="136">
        <v>24725</v>
      </c>
      <c r="H75" s="128" t="s">
        <v>1535</v>
      </c>
    </row>
    <row r="76" spans="1:8" ht="13" x14ac:dyDescent="0.6">
      <c r="A76" s="125">
        <v>22783</v>
      </c>
      <c r="B76" s="126" t="s">
        <v>1592</v>
      </c>
      <c r="C76" s="126" t="s">
        <v>1322</v>
      </c>
      <c r="D76" s="134" t="s">
        <v>1272</v>
      </c>
      <c r="E76" s="134" t="s">
        <v>2</v>
      </c>
      <c r="F76" s="126"/>
      <c r="G76" s="126" t="s">
        <v>204</v>
      </c>
      <c r="H76" s="126" t="s">
        <v>204</v>
      </c>
    </row>
    <row r="77" spans="1:8" ht="26" x14ac:dyDescent="0.6">
      <c r="A77" s="127">
        <v>22289</v>
      </c>
      <c r="B77" s="128" t="s">
        <v>1592</v>
      </c>
      <c r="C77" s="128" t="s">
        <v>1323</v>
      </c>
      <c r="D77" s="135" t="s">
        <v>1272</v>
      </c>
      <c r="E77" s="44" t="s">
        <v>1255</v>
      </c>
      <c r="F77" s="128"/>
      <c r="G77" s="136">
        <v>23559</v>
      </c>
      <c r="H77" s="128" t="s">
        <v>1536</v>
      </c>
    </row>
    <row r="78" spans="1:8" ht="13" x14ac:dyDescent="0.6">
      <c r="A78" s="125">
        <v>24394</v>
      </c>
      <c r="B78" s="126" t="s">
        <v>1592</v>
      </c>
      <c r="C78" s="126" t="s">
        <v>1324</v>
      </c>
      <c r="D78" s="134" t="s">
        <v>304</v>
      </c>
      <c r="E78" s="134" t="s">
        <v>2</v>
      </c>
      <c r="F78" s="126"/>
      <c r="G78" s="126" t="s">
        <v>204</v>
      </c>
      <c r="H78" s="126" t="s">
        <v>204</v>
      </c>
    </row>
    <row r="79" spans="1:8" ht="13" x14ac:dyDescent="0.6">
      <c r="A79" s="127">
        <v>24312</v>
      </c>
      <c r="B79" s="128" t="s">
        <v>1592</v>
      </c>
      <c r="C79" s="128" t="s">
        <v>1325</v>
      </c>
      <c r="D79" s="135" t="s">
        <v>304</v>
      </c>
      <c r="E79" s="135" t="s">
        <v>2</v>
      </c>
      <c r="F79" s="128"/>
      <c r="G79" s="128" t="s">
        <v>204</v>
      </c>
      <c r="H79" s="128" t="s">
        <v>204</v>
      </c>
    </row>
    <row r="80" spans="1:8" ht="13" x14ac:dyDescent="0.6">
      <c r="A80" s="125">
        <v>24058</v>
      </c>
      <c r="B80" s="126" t="s">
        <v>1592</v>
      </c>
      <c r="C80" s="126" t="s">
        <v>1326</v>
      </c>
      <c r="D80" s="134" t="s">
        <v>304</v>
      </c>
      <c r="E80" s="134" t="s">
        <v>2</v>
      </c>
      <c r="F80" s="126"/>
      <c r="G80" s="126" t="s">
        <v>204</v>
      </c>
      <c r="H80" s="126" t="s">
        <v>204</v>
      </c>
    </row>
    <row r="81" spans="1:8" ht="26" x14ac:dyDescent="0.6">
      <c r="A81" s="127">
        <v>24057</v>
      </c>
      <c r="B81" s="128" t="s">
        <v>1592</v>
      </c>
      <c r="C81" s="128" t="s">
        <v>1327</v>
      </c>
      <c r="D81" s="135" t="s">
        <v>304</v>
      </c>
      <c r="E81" s="44" t="s">
        <v>1255</v>
      </c>
      <c r="F81" s="128">
        <v>1</v>
      </c>
      <c r="G81" s="136">
        <v>24059</v>
      </c>
      <c r="H81" s="128" t="s">
        <v>1537</v>
      </c>
    </row>
    <row r="82" spans="1:8" ht="13" x14ac:dyDescent="0.6">
      <c r="A82" s="125">
        <v>23303</v>
      </c>
      <c r="B82" s="126" t="s">
        <v>1592</v>
      </c>
      <c r="C82" s="126" t="s">
        <v>1328</v>
      </c>
      <c r="D82" s="134" t="s">
        <v>304</v>
      </c>
      <c r="E82" s="134" t="s">
        <v>2</v>
      </c>
      <c r="F82" s="126"/>
      <c r="G82" s="126" t="s">
        <v>204</v>
      </c>
      <c r="H82" s="126" t="s">
        <v>204</v>
      </c>
    </row>
    <row r="83" spans="1:8" ht="13" x14ac:dyDescent="0.6">
      <c r="A83" s="127">
        <v>22255</v>
      </c>
      <c r="B83" s="128" t="s">
        <v>1592</v>
      </c>
      <c r="C83" s="128" t="s">
        <v>1329</v>
      </c>
      <c r="D83" s="135" t="s">
        <v>304</v>
      </c>
      <c r="E83" s="135" t="s">
        <v>2</v>
      </c>
      <c r="F83" s="128"/>
      <c r="G83" s="128" t="s">
        <v>204</v>
      </c>
      <c r="H83" s="128" t="s">
        <v>204</v>
      </c>
    </row>
    <row r="84" spans="1:8" ht="13" x14ac:dyDescent="0.6">
      <c r="A84" s="125">
        <v>20657</v>
      </c>
      <c r="B84" s="126" t="s">
        <v>1592</v>
      </c>
      <c r="C84" s="126" t="s">
        <v>1330</v>
      </c>
      <c r="D84" s="134" t="s">
        <v>304</v>
      </c>
      <c r="E84" s="134" t="s">
        <v>2</v>
      </c>
      <c r="F84" s="126"/>
      <c r="G84" s="126" t="s">
        <v>204</v>
      </c>
      <c r="H84" s="126" t="s">
        <v>204</v>
      </c>
    </row>
    <row r="85" spans="1:8" ht="13" x14ac:dyDescent="0.6">
      <c r="A85" s="127">
        <v>23071</v>
      </c>
      <c r="B85" s="128" t="s">
        <v>1593</v>
      </c>
      <c r="C85" s="128" t="s">
        <v>1331</v>
      </c>
      <c r="D85" s="135" t="s">
        <v>1249</v>
      </c>
      <c r="E85" s="135" t="s">
        <v>2</v>
      </c>
      <c r="F85" s="128"/>
      <c r="G85" s="128" t="s">
        <v>204</v>
      </c>
      <c r="H85" s="128" t="s">
        <v>204</v>
      </c>
    </row>
    <row r="86" spans="1:8" ht="13" x14ac:dyDescent="0.6">
      <c r="A86" s="125">
        <v>22416</v>
      </c>
      <c r="B86" s="126" t="s">
        <v>1593</v>
      </c>
      <c r="C86" s="126" t="s">
        <v>1332</v>
      </c>
      <c r="D86" s="134" t="s">
        <v>1261</v>
      </c>
      <c r="E86" s="134" t="s">
        <v>2</v>
      </c>
      <c r="F86" s="126"/>
      <c r="G86" s="126" t="s">
        <v>204</v>
      </c>
      <c r="H86" s="126" t="s">
        <v>204</v>
      </c>
    </row>
    <row r="87" spans="1:8" ht="13" x14ac:dyDescent="0.6">
      <c r="A87" s="127">
        <v>24892</v>
      </c>
      <c r="B87" s="128" t="s">
        <v>1593</v>
      </c>
      <c r="C87" s="128" t="s">
        <v>1333</v>
      </c>
      <c r="D87" s="135" t="s">
        <v>1272</v>
      </c>
      <c r="E87" s="135" t="s">
        <v>2</v>
      </c>
      <c r="F87" s="128"/>
      <c r="G87" s="128" t="s">
        <v>204</v>
      </c>
      <c r="H87" s="128" t="s">
        <v>204</v>
      </c>
    </row>
    <row r="88" spans="1:8" ht="13" x14ac:dyDescent="0.6">
      <c r="A88" s="125">
        <v>23634</v>
      </c>
      <c r="B88" s="126" t="s">
        <v>1593</v>
      </c>
      <c r="C88" s="126" t="s">
        <v>1334</v>
      </c>
      <c r="D88" s="134" t="s">
        <v>304</v>
      </c>
      <c r="E88" s="134" t="s">
        <v>2</v>
      </c>
      <c r="F88" s="126"/>
      <c r="G88" s="126" t="s">
        <v>204</v>
      </c>
      <c r="H88" s="126" t="s">
        <v>204</v>
      </c>
    </row>
    <row r="89" spans="1:8" ht="13" x14ac:dyDescent="0.6">
      <c r="A89" s="127">
        <v>22538</v>
      </c>
      <c r="B89" s="128" t="s">
        <v>1593</v>
      </c>
      <c r="C89" s="128" t="s">
        <v>1311</v>
      </c>
      <c r="D89" s="135" t="s">
        <v>304</v>
      </c>
      <c r="E89" s="135" t="s">
        <v>2</v>
      </c>
      <c r="F89" s="128"/>
      <c r="G89" s="128" t="s">
        <v>204</v>
      </c>
      <c r="H89" s="128" t="s">
        <v>204</v>
      </c>
    </row>
    <row r="90" spans="1:8" ht="13" x14ac:dyDescent="0.6">
      <c r="A90" s="125">
        <v>22396</v>
      </c>
      <c r="B90" s="126" t="s">
        <v>1593</v>
      </c>
      <c r="C90" s="126" t="s">
        <v>1335</v>
      </c>
      <c r="D90" s="134" t="s">
        <v>304</v>
      </c>
      <c r="E90" s="134" t="s">
        <v>2</v>
      </c>
      <c r="F90" s="126"/>
      <c r="G90" s="126" t="s">
        <v>204</v>
      </c>
      <c r="H90" s="126" t="s">
        <v>204</v>
      </c>
    </row>
    <row r="91" spans="1:8" ht="13" x14ac:dyDescent="0.6">
      <c r="A91" s="127">
        <v>24889</v>
      </c>
      <c r="B91" s="128" t="s">
        <v>1594</v>
      </c>
      <c r="C91" s="128" t="s">
        <v>1336</v>
      </c>
      <c r="D91" s="135" t="s">
        <v>1249</v>
      </c>
      <c r="E91" s="135" t="s">
        <v>2</v>
      </c>
      <c r="F91" s="128"/>
      <c r="G91" s="128" t="s">
        <v>204</v>
      </c>
      <c r="H91" s="128" t="s">
        <v>204</v>
      </c>
    </row>
    <row r="92" spans="1:8" ht="13" x14ac:dyDescent="0.6">
      <c r="A92" s="125">
        <v>24126</v>
      </c>
      <c r="B92" s="126" t="s">
        <v>1594</v>
      </c>
      <c r="C92" s="126" t="s">
        <v>1337</v>
      </c>
      <c r="D92" s="134" t="s">
        <v>1261</v>
      </c>
      <c r="E92" s="134" t="s">
        <v>2</v>
      </c>
      <c r="F92" s="126"/>
      <c r="G92" s="126" t="s">
        <v>204</v>
      </c>
      <c r="H92" s="126" t="s">
        <v>204</v>
      </c>
    </row>
    <row r="93" spans="1:8" ht="26" x14ac:dyDescent="0.6">
      <c r="A93" s="127">
        <v>22487</v>
      </c>
      <c r="B93" s="128" t="s">
        <v>1594</v>
      </c>
      <c r="C93" s="128" t="s">
        <v>1338</v>
      </c>
      <c r="D93" s="135" t="s">
        <v>1261</v>
      </c>
      <c r="E93" s="135" t="s">
        <v>2</v>
      </c>
      <c r="F93" s="128"/>
      <c r="G93" s="128" t="s">
        <v>204</v>
      </c>
      <c r="H93" s="128" t="s">
        <v>204</v>
      </c>
    </row>
    <row r="94" spans="1:8" ht="26" x14ac:dyDescent="0.6">
      <c r="A94" s="125">
        <v>17355</v>
      </c>
      <c r="B94" s="126" t="s">
        <v>1594</v>
      </c>
      <c r="C94" s="126" t="s">
        <v>1339</v>
      </c>
      <c r="D94" s="134" t="s">
        <v>1261</v>
      </c>
      <c r="E94" s="44" t="s">
        <v>1255</v>
      </c>
      <c r="F94" s="126"/>
      <c r="G94" s="137">
        <v>24898</v>
      </c>
      <c r="H94" s="126" t="s">
        <v>1777</v>
      </c>
    </row>
    <row r="95" spans="1:8" ht="13" x14ac:dyDescent="0.6">
      <c r="A95" s="127">
        <v>24580</v>
      </c>
      <c r="B95" s="128" t="s">
        <v>1594</v>
      </c>
      <c r="C95" s="128" t="s">
        <v>1340</v>
      </c>
      <c r="D95" s="135" t="s">
        <v>304</v>
      </c>
      <c r="E95" s="135" t="s">
        <v>2</v>
      </c>
      <c r="F95" s="128"/>
      <c r="G95" s="128" t="s">
        <v>204</v>
      </c>
      <c r="H95" s="128" t="s">
        <v>204</v>
      </c>
    </row>
    <row r="96" spans="1:8" ht="13" x14ac:dyDescent="0.6">
      <c r="A96" s="125">
        <v>24473</v>
      </c>
      <c r="B96" s="126" t="s">
        <v>1594</v>
      </c>
      <c r="C96" s="126" t="s">
        <v>1341</v>
      </c>
      <c r="D96" s="134" t="s">
        <v>304</v>
      </c>
      <c r="E96" s="134" t="s">
        <v>2</v>
      </c>
      <c r="F96" s="126"/>
      <c r="G96" s="126" t="s">
        <v>204</v>
      </c>
      <c r="H96" s="126" t="s">
        <v>204</v>
      </c>
    </row>
    <row r="97" spans="1:8" ht="26" x14ac:dyDescent="0.6">
      <c r="A97" s="127">
        <v>24247</v>
      </c>
      <c r="B97" s="128" t="s">
        <v>1594</v>
      </c>
      <c r="C97" s="128" t="s">
        <v>1342</v>
      </c>
      <c r="D97" s="135" t="s">
        <v>304</v>
      </c>
      <c r="E97" s="44" t="s">
        <v>1255</v>
      </c>
      <c r="F97" s="128">
        <v>1</v>
      </c>
      <c r="G97" s="136">
        <v>24271</v>
      </c>
      <c r="H97" s="128" t="s">
        <v>1538</v>
      </c>
    </row>
    <row r="98" spans="1:8" ht="13" x14ac:dyDescent="0.6">
      <c r="A98" s="125">
        <v>24199</v>
      </c>
      <c r="B98" s="126" t="s">
        <v>1594</v>
      </c>
      <c r="C98" s="126" t="s">
        <v>1343</v>
      </c>
      <c r="D98" s="134" t="s">
        <v>304</v>
      </c>
      <c r="E98" s="134" t="s">
        <v>2</v>
      </c>
      <c r="F98" s="126"/>
      <c r="G98" s="126" t="s">
        <v>204</v>
      </c>
      <c r="H98" s="126" t="s">
        <v>204</v>
      </c>
    </row>
    <row r="99" spans="1:8" ht="26" x14ac:dyDescent="0.6">
      <c r="A99" s="127">
        <v>23537</v>
      </c>
      <c r="B99" s="128" t="s">
        <v>1594</v>
      </c>
      <c r="C99" s="128" t="s">
        <v>1344</v>
      </c>
      <c r="D99" s="135" t="s">
        <v>304</v>
      </c>
      <c r="E99" s="44" t="s">
        <v>1255</v>
      </c>
      <c r="F99" s="128">
        <v>2</v>
      </c>
      <c r="G99" s="136">
        <v>23651</v>
      </c>
      <c r="H99" s="128" t="s">
        <v>1539</v>
      </c>
    </row>
    <row r="100" spans="1:8" ht="26" x14ac:dyDescent="0.6">
      <c r="A100" s="125">
        <v>22894</v>
      </c>
      <c r="B100" s="126" t="s">
        <v>1594</v>
      </c>
      <c r="C100" s="126" t="s">
        <v>1345</v>
      </c>
      <c r="D100" s="134" t="s">
        <v>304</v>
      </c>
      <c r="E100" s="134" t="s">
        <v>2</v>
      </c>
      <c r="F100" s="126"/>
      <c r="G100" s="126" t="s">
        <v>204</v>
      </c>
      <c r="H100" s="126" t="s">
        <v>204</v>
      </c>
    </row>
    <row r="101" spans="1:8" ht="26" x14ac:dyDescent="0.6">
      <c r="A101" s="127">
        <v>24265</v>
      </c>
      <c r="B101" s="128" t="s">
        <v>1595</v>
      </c>
      <c r="C101" s="128" t="s">
        <v>1346</v>
      </c>
      <c r="D101" s="135" t="s">
        <v>1249</v>
      </c>
      <c r="E101" s="44" t="s">
        <v>1255</v>
      </c>
      <c r="F101" s="128">
        <v>2</v>
      </c>
      <c r="G101" s="136">
        <v>24479</v>
      </c>
      <c r="H101" s="128" t="s">
        <v>1775</v>
      </c>
    </row>
    <row r="102" spans="1:8" ht="13" x14ac:dyDescent="0.6">
      <c r="A102" s="125">
        <v>23700</v>
      </c>
      <c r="B102" s="126" t="s">
        <v>1595</v>
      </c>
      <c r="C102" s="126" t="s">
        <v>1347</v>
      </c>
      <c r="D102" s="134" t="s">
        <v>304</v>
      </c>
      <c r="E102" s="134" t="s">
        <v>2</v>
      </c>
      <c r="F102" s="126"/>
      <c r="G102" s="126" t="s">
        <v>204</v>
      </c>
      <c r="H102" s="126" t="s">
        <v>204</v>
      </c>
    </row>
    <row r="103" spans="1:8" ht="13" x14ac:dyDescent="0.6">
      <c r="A103" s="127">
        <v>23259</v>
      </c>
      <c r="B103" s="128" t="s">
        <v>1595</v>
      </c>
      <c r="C103" s="128" t="s">
        <v>1348</v>
      </c>
      <c r="D103" s="135" t="s">
        <v>304</v>
      </c>
      <c r="E103" s="135" t="s">
        <v>2</v>
      </c>
      <c r="F103" s="128"/>
      <c r="G103" s="128" t="s">
        <v>204</v>
      </c>
      <c r="H103" s="128" t="s">
        <v>204</v>
      </c>
    </row>
    <row r="104" spans="1:8" ht="13" x14ac:dyDescent="0.6">
      <c r="A104" s="125">
        <v>22482</v>
      </c>
      <c r="B104" s="126" t="s">
        <v>1595</v>
      </c>
      <c r="C104" s="126" t="s">
        <v>1349</v>
      </c>
      <c r="D104" s="134" t="s">
        <v>304</v>
      </c>
      <c r="E104" s="134" t="s">
        <v>2</v>
      </c>
      <c r="F104" s="126"/>
      <c r="G104" s="126" t="s">
        <v>204</v>
      </c>
      <c r="H104" s="126" t="s">
        <v>204</v>
      </c>
    </row>
    <row r="105" spans="1:8" ht="26" x14ac:dyDescent="0.6">
      <c r="A105" s="127">
        <v>22393</v>
      </c>
      <c r="B105" s="128" t="s">
        <v>1596</v>
      </c>
      <c r="C105" s="128" t="s">
        <v>1350</v>
      </c>
      <c r="D105" s="135"/>
      <c r="E105" s="44" t="s">
        <v>1255</v>
      </c>
      <c r="F105" s="128"/>
      <c r="G105" s="136">
        <v>22503</v>
      </c>
      <c r="H105" s="128" t="s">
        <v>1540</v>
      </c>
    </row>
    <row r="106" spans="1:8" ht="13" x14ac:dyDescent="0.6">
      <c r="A106" s="125">
        <v>24834</v>
      </c>
      <c r="B106" s="126" t="s">
        <v>1596</v>
      </c>
      <c r="C106" s="126" t="s">
        <v>1351</v>
      </c>
      <c r="D106" s="134" t="s">
        <v>1249</v>
      </c>
      <c r="E106" s="134" t="s">
        <v>2</v>
      </c>
      <c r="F106" s="126"/>
      <c r="G106" s="126" t="s">
        <v>204</v>
      </c>
      <c r="H106" s="126" t="s">
        <v>204</v>
      </c>
    </row>
    <row r="107" spans="1:8" ht="13" x14ac:dyDescent="0.6">
      <c r="A107" s="127">
        <v>24691</v>
      </c>
      <c r="B107" s="128" t="s">
        <v>1596</v>
      </c>
      <c r="C107" s="128" t="s">
        <v>1352</v>
      </c>
      <c r="D107" s="135" t="s">
        <v>1249</v>
      </c>
      <c r="E107" s="135" t="s">
        <v>2</v>
      </c>
      <c r="F107" s="128"/>
      <c r="G107" s="128" t="s">
        <v>204</v>
      </c>
      <c r="H107" s="128" t="s">
        <v>204</v>
      </c>
    </row>
    <row r="108" spans="1:8" ht="26" x14ac:dyDescent="0.6">
      <c r="A108" s="125">
        <v>24662</v>
      </c>
      <c r="B108" s="126" t="s">
        <v>1596</v>
      </c>
      <c r="C108" s="126" t="s">
        <v>1353</v>
      </c>
      <c r="D108" s="134" t="s">
        <v>1249</v>
      </c>
      <c r="E108" s="44" t="s">
        <v>1255</v>
      </c>
      <c r="F108" s="126"/>
      <c r="G108" s="137">
        <v>25208</v>
      </c>
      <c r="H108" s="126" t="s">
        <v>1776</v>
      </c>
    </row>
    <row r="109" spans="1:8" ht="26" x14ac:dyDescent="0.6">
      <c r="A109" s="127">
        <v>24507</v>
      </c>
      <c r="B109" s="128" t="s">
        <v>1596</v>
      </c>
      <c r="C109" s="128" t="s">
        <v>1354</v>
      </c>
      <c r="D109" s="135" t="s">
        <v>1249</v>
      </c>
      <c r="E109" s="44" t="s">
        <v>1255</v>
      </c>
      <c r="F109" s="128">
        <v>4</v>
      </c>
      <c r="G109" s="136">
        <v>22968</v>
      </c>
      <c r="H109" s="128" t="s">
        <v>1541</v>
      </c>
    </row>
    <row r="110" spans="1:8" ht="26" x14ac:dyDescent="0.6">
      <c r="A110" s="125">
        <v>24443</v>
      </c>
      <c r="B110" s="126" t="s">
        <v>1596</v>
      </c>
      <c r="C110" s="126" t="s">
        <v>1355</v>
      </c>
      <c r="D110" s="134" t="s">
        <v>1249</v>
      </c>
      <c r="E110" s="44" t="s">
        <v>1255</v>
      </c>
      <c r="F110" s="126"/>
      <c r="G110" s="137"/>
      <c r="H110" s="126"/>
    </row>
    <row r="111" spans="1:8" ht="26" x14ac:dyDescent="0.6">
      <c r="A111" s="127">
        <v>23488</v>
      </c>
      <c r="B111" s="128" t="s">
        <v>1596</v>
      </c>
      <c r="C111" s="128" t="s">
        <v>1356</v>
      </c>
      <c r="D111" s="135" t="s">
        <v>1249</v>
      </c>
      <c r="E111" s="44" t="s">
        <v>1255</v>
      </c>
      <c r="F111" s="128">
        <v>3</v>
      </c>
      <c r="G111" s="136">
        <v>23971</v>
      </c>
      <c r="H111" s="128" t="s">
        <v>1542</v>
      </c>
    </row>
    <row r="112" spans="1:8" ht="13" x14ac:dyDescent="0.6">
      <c r="A112" s="125">
        <v>23486</v>
      </c>
      <c r="B112" s="126" t="s">
        <v>1596</v>
      </c>
      <c r="C112" s="126" t="s">
        <v>1357</v>
      </c>
      <c r="D112" s="134" t="s">
        <v>1249</v>
      </c>
      <c r="E112" s="134" t="s">
        <v>2</v>
      </c>
      <c r="F112" s="126"/>
      <c r="G112" s="126" t="s">
        <v>204</v>
      </c>
      <c r="H112" s="126" t="s">
        <v>204</v>
      </c>
    </row>
    <row r="113" spans="1:8" ht="26" x14ac:dyDescent="0.6">
      <c r="A113" s="127">
        <v>23428</v>
      </c>
      <c r="B113" s="128" t="s">
        <v>1596</v>
      </c>
      <c r="C113" s="128" t="s">
        <v>1358</v>
      </c>
      <c r="D113" s="135" t="s">
        <v>1249</v>
      </c>
      <c r="E113" s="44" t="s">
        <v>1255</v>
      </c>
      <c r="F113" s="128">
        <v>4</v>
      </c>
      <c r="G113" s="136">
        <v>24028</v>
      </c>
      <c r="H113" s="128" t="s">
        <v>1543</v>
      </c>
    </row>
    <row r="114" spans="1:8" ht="13" x14ac:dyDescent="0.6">
      <c r="A114" s="125">
        <v>23310</v>
      </c>
      <c r="B114" s="126" t="s">
        <v>1596</v>
      </c>
      <c r="C114" s="126" t="s">
        <v>1359</v>
      </c>
      <c r="D114" s="134" t="s">
        <v>1249</v>
      </c>
      <c r="E114" s="44" t="s">
        <v>2</v>
      </c>
      <c r="F114" s="126"/>
      <c r="G114" s="126" t="s">
        <v>204</v>
      </c>
      <c r="H114" s="126" t="s">
        <v>204</v>
      </c>
    </row>
    <row r="115" spans="1:8" ht="13" x14ac:dyDescent="0.6">
      <c r="A115" s="127">
        <v>23217</v>
      </c>
      <c r="B115" s="128" t="s">
        <v>1596</v>
      </c>
      <c r="C115" s="128" t="s">
        <v>1360</v>
      </c>
      <c r="D115" s="135" t="s">
        <v>1249</v>
      </c>
      <c r="E115" s="44" t="s">
        <v>2</v>
      </c>
      <c r="F115" s="128"/>
      <c r="G115" s="136">
        <v>23206</v>
      </c>
      <c r="H115" s="128" t="s">
        <v>1544</v>
      </c>
    </row>
    <row r="116" spans="1:8" ht="26" x14ac:dyDescent="0.6">
      <c r="A116" s="125">
        <v>23100</v>
      </c>
      <c r="B116" s="126" t="s">
        <v>1596</v>
      </c>
      <c r="C116" s="126" t="s">
        <v>1361</v>
      </c>
      <c r="D116" s="134" t="s">
        <v>1249</v>
      </c>
      <c r="E116" s="44" t="s">
        <v>1255</v>
      </c>
      <c r="F116" s="126">
        <v>1</v>
      </c>
      <c r="G116" s="137">
        <v>23118</v>
      </c>
      <c r="H116" s="126" t="s">
        <v>1545</v>
      </c>
    </row>
    <row r="117" spans="1:8" ht="13" x14ac:dyDescent="0.6">
      <c r="A117" s="130"/>
      <c r="B117" s="128"/>
      <c r="C117" s="128"/>
      <c r="D117" s="135"/>
      <c r="E117" s="135"/>
      <c r="F117" s="128"/>
      <c r="G117" s="136">
        <v>23101</v>
      </c>
      <c r="H117" s="128" t="s">
        <v>1362</v>
      </c>
    </row>
    <row r="118" spans="1:8" ht="26" x14ac:dyDescent="0.6">
      <c r="A118" s="125">
        <v>22918</v>
      </c>
      <c r="B118" s="126" t="s">
        <v>1596</v>
      </c>
      <c r="C118" s="126" t="s">
        <v>1363</v>
      </c>
      <c r="D118" s="134" t="s">
        <v>1249</v>
      </c>
      <c r="E118" s="44" t="s">
        <v>1255</v>
      </c>
      <c r="F118" s="126"/>
      <c r="G118" s="137">
        <v>24757</v>
      </c>
      <c r="H118" s="126" t="s">
        <v>1778</v>
      </c>
    </row>
    <row r="119" spans="1:8" ht="13" x14ac:dyDescent="0.6">
      <c r="A119" s="127">
        <v>22856</v>
      </c>
      <c r="B119" s="128" t="s">
        <v>1596</v>
      </c>
      <c r="C119" s="128" t="s">
        <v>1364</v>
      </c>
      <c r="D119" s="135" t="s">
        <v>1249</v>
      </c>
      <c r="E119" s="135" t="s">
        <v>2</v>
      </c>
      <c r="F119" s="128"/>
      <c r="G119" s="128" t="s">
        <v>204</v>
      </c>
      <c r="H119" s="128" t="s">
        <v>204</v>
      </c>
    </row>
    <row r="120" spans="1:8" ht="13" x14ac:dyDescent="0.6">
      <c r="A120" s="125">
        <v>22851</v>
      </c>
      <c r="B120" s="126" t="s">
        <v>1596</v>
      </c>
      <c r="C120" s="126" t="s">
        <v>1365</v>
      </c>
      <c r="D120" s="134" t="s">
        <v>1249</v>
      </c>
      <c r="E120" s="134" t="s">
        <v>2</v>
      </c>
      <c r="F120" s="126">
        <v>2</v>
      </c>
      <c r="G120" s="137">
        <v>22971</v>
      </c>
      <c r="H120" s="126" t="s">
        <v>1366</v>
      </c>
    </row>
    <row r="121" spans="1:8" ht="13" x14ac:dyDescent="0.6">
      <c r="A121" s="130"/>
      <c r="B121" s="128"/>
      <c r="C121" s="128"/>
      <c r="D121" s="135"/>
      <c r="E121" s="135"/>
      <c r="F121" s="128">
        <v>1</v>
      </c>
      <c r="G121" s="136">
        <v>22733</v>
      </c>
      <c r="H121" s="128" t="s">
        <v>1367</v>
      </c>
    </row>
    <row r="122" spans="1:8" ht="13" x14ac:dyDescent="0.6">
      <c r="A122" s="125">
        <v>22844</v>
      </c>
      <c r="B122" s="126" t="s">
        <v>1596</v>
      </c>
      <c r="C122" s="126" t="s">
        <v>1368</v>
      </c>
      <c r="D122" s="134" t="s">
        <v>1249</v>
      </c>
      <c r="E122" s="134" t="s">
        <v>2</v>
      </c>
      <c r="F122" s="126"/>
      <c r="G122" s="126" t="s">
        <v>204</v>
      </c>
      <c r="H122" s="126" t="s">
        <v>204</v>
      </c>
    </row>
    <row r="123" spans="1:8" ht="13" x14ac:dyDescent="0.6">
      <c r="A123" s="127">
        <v>22709</v>
      </c>
      <c r="B123" s="128" t="s">
        <v>1596</v>
      </c>
      <c r="C123" s="128" t="s">
        <v>1369</v>
      </c>
      <c r="D123" s="135" t="s">
        <v>1249</v>
      </c>
      <c r="E123" s="135" t="s">
        <v>2</v>
      </c>
      <c r="F123" s="128"/>
      <c r="G123" s="128" t="s">
        <v>204</v>
      </c>
      <c r="H123" s="128" t="s">
        <v>204</v>
      </c>
    </row>
    <row r="124" spans="1:8" ht="26" x14ac:dyDescent="0.6">
      <c r="A124" s="125">
        <v>22667</v>
      </c>
      <c r="B124" s="126" t="s">
        <v>1596</v>
      </c>
      <c r="C124" s="126" t="s">
        <v>1370</v>
      </c>
      <c r="D124" s="134" t="s">
        <v>1249</v>
      </c>
      <c r="E124" s="134" t="s">
        <v>2</v>
      </c>
      <c r="F124" s="126"/>
      <c r="G124" s="126" t="s">
        <v>204</v>
      </c>
      <c r="H124" s="126" t="s">
        <v>204</v>
      </c>
    </row>
    <row r="125" spans="1:8" ht="13" x14ac:dyDescent="0.6">
      <c r="A125" s="127">
        <v>22658</v>
      </c>
      <c r="B125" s="128" t="s">
        <v>1596</v>
      </c>
      <c r="C125" s="128" t="s">
        <v>1371</v>
      </c>
      <c r="D125" s="135" t="s">
        <v>1249</v>
      </c>
      <c r="E125" s="135" t="s">
        <v>2</v>
      </c>
      <c r="F125" s="128"/>
      <c r="G125" s="128" t="s">
        <v>204</v>
      </c>
      <c r="H125" s="128" t="s">
        <v>204</v>
      </c>
    </row>
    <row r="126" spans="1:8" ht="26" x14ac:dyDescent="0.6">
      <c r="A126" s="125">
        <v>22620</v>
      </c>
      <c r="B126" s="126" t="s">
        <v>1596</v>
      </c>
      <c r="C126" s="126" t="s">
        <v>1372</v>
      </c>
      <c r="D126" s="134" t="s">
        <v>1249</v>
      </c>
      <c r="E126" s="44" t="s">
        <v>1255</v>
      </c>
      <c r="F126" s="126">
        <v>3</v>
      </c>
      <c r="G126" s="137">
        <v>22974</v>
      </c>
      <c r="H126" s="126" t="s">
        <v>1546</v>
      </c>
    </row>
    <row r="127" spans="1:8" ht="26" x14ac:dyDescent="0.6">
      <c r="A127" s="127">
        <v>22495</v>
      </c>
      <c r="B127" s="128" t="s">
        <v>1596</v>
      </c>
      <c r="C127" s="128" t="s">
        <v>1373</v>
      </c>
      <c r="D127" s="135" t="s">
        <v>1249</v>
      </c>
      <c r="E127" s="44" t="s">
        <v>1255</v>
      </c>
      <c r="F127" s="128">
        <v>4</v>
      </c>
      <c r="G127" s="136">
        <v>22968</v>
      </c>
      <c r="H127" s="128" t="s">
        <v>1547</v>
      </c>
    </row>
    <row r="128" spans="1:8" ht="13" x14ac:dyDescent="0.6">
      <c r="A128" s="125">
        <v>22494</v>
      </c>
      <c r="B128" s="126" t="s">
        <v>1596</v>
      </c>
      <c r="C128" s="126" t="s">
        <v>1374</v>
      </c>
      <c r="D128" s="134" t="s">
        <v>1249</v>
      </c>
      <c r="E128" s="134" t="s">
        <v>2</v>
      </c>
      <c r="F128" s="126"/>
      <c r="G128" s="126" t="s">
        <v>204</v>
      </c>
      <c r="H128" s="126" t="s">
        <v>204</v>
      </c>
    </row>
    <row r="129" spans="1:8" ht="26" x14ac:dyDescent="0.6">
      <c r="A129" s="127">
        <v>22353</v>
      </c>
      <c r="B129" s="128" t="s">
        <v>1596</v>
      </c>
      <c r="C129" s="128" t="s">
        <v>1375</v>
      </c>
      <c r="D129" s="135" t="s">
        <v>1249</v>
      </c>
      <c r="E129" s="44" t="s">
        <v>1255</v>
      </c>
      <c r="F129" s="128">
        <v>3</v>
      </c>
      <c r="G129" s="136">
        <v>22502</v>
      </c>
      <c r="H129" s="128" t="s">
        <v>1548</v>
      </c>
    </row>
    <row r="130" spans="1:8" ht="26" x14ac:dyDescent="0.6">
      <c r="A130" s="125">
        <v>25046</v>
      </c>
      <c r="B130" s="126" t="s">
        <v>1596</v>
      </c>
      <c r="C130" s="126" t="s">
        <v>1376</v>
      </c>
      <c r="D130" s="134" t="s">
        <v>1261</v>
      </c>
      <c r="E130" s="44" t="s">
        <v>1266</v>
      </c>
      <c r="F130" s="126"/>
      <c r="G130" s="137" t="s">
        <v>1377</v>
      </c>
      <c r="H130" s="126" t="s">
        <v>1779</v>
      </c>
    </row>
    <row r="131" spans="1:8" ht="13" x14ac:dyDescent="0.6">
      <c r="A131" s="130"/>
      <c r="B131" s="128"/>
      <c r="C131" s="128"/>
      <c r="D131" s="135"/>
      <c r="E131" s="135"/>
      <c r="F131" s="128">
        <v>1</v>
      </c>
      <c r="G131" s="136">
        <v>25027</v>
      </c>
      <c r="H131" s="128" t="s">
        <v>1378</v>
      </c>
    </row>
    <row r="132" spans="1:8" ht="26" x14ac:dyDescent="0.6">
      <c r="A132" s="125">
        <v>24855</v>
      </c>
      <c r="B132" s="126" t="s">
        <v>1596</v>
      </c>
      <c r="C132" s="126" t="s">
        <v>1379</v>
      </c>
      <c r="D132" s="134" t="s">
        <v>1261</v>
      </c>
      <c r="E132" s="44" t="s">
        <v>1255</v>
      </c>
      <c r="F132" s="126">
        <v>2</v>
      </c>
      <c r="G132" s="137">
        <v>24885</v>
      </c>
      <c r="H132" s="126" t="s">
        <v>1549</v>
      </c>
    </row>
    <row r="133" spans="1:8" ht="26" x14ac:dyDescent="0.6">
      <c r="A133" s="127">
        <v>24125</v>
      </c>
      <c r="B133" s="128" t="s">
        <v>1596</v>
      </c>
      <c r="C133" s="128" t="s">
        <v>1380</v>
      </c>
      <c r="D133" s="135" t="s">
        <v>1261</v>
      </c>
      <c r="E133" s="44" t="s">
        <v>2</v>
      </c>
      <c r="F133" s="128"/>
      <c r="G133" s="128" t="s">
        <v>204</v>
      </c>
      <c r="H133" s="128" t="s">
        <v>204</v>
      </c>
    </row>
    <row r="134" spans="1:8" ht="26" x14ac:dyDescent="0.6">
      <c r="A134" s="125">
        <v>24009</v>
      </c>
      <c r="B134" s="126" t="s">
        <v>1596</v>
      </c>
      <c r="C134" s="126" t="s">
        <v>1381</v>
      </c>
      <c r="D134" s="134" t="s">
        <v>1261</v>
      </c>
      <c r="E134" s="44" t="s">
        <v>1255</v>
      </c>
      <c r="F134" s="126">
        <v>3</v>
      </c>
      <c r="G134" s="137">
        <v>24027</v>
      </c>
      <c r="H134" s="126" t="s">
        <v>1550</v>
      </c>
    </row>
    <row r="135" spans="1:8" ht="26" x14ac:dyDescent="0.6">
      <c r="A135" s="127">
        <v>23896</v>
      </c>
      <c r="B135" s="128" t="s">
        <v>1596</v>
      </c>
      <c r="C135" s="128" t="s">
        <v>1382</v>
      </c>
      <c r="D135" s="135" t="s">
        <v>1261</v>
      </c>
      <c r="E135" s="44" t="s">
        <v>1255</v>
      </c>
      <c r="F135" s="128">
        <v>2</v>
      </c>
      <c r="G135" s="136">
        <v>23973</v>
      </c>
      <c r="H135" s="128" t="s">
        <v>1551</v>
      </c>
    </row>
    <row r="136" spans="1:8" ht="26" x14ac:dyDescent="0.6">
      <c r="A136" s="125">
        <v>23602</v>
      </c>
      <c r="B136" s="126" t="s">
        <v>1596</v>
      </c>
      <c r="C136" s="126" t="s">
        <v>1383</v>
      </c>
      <c r="D136" s="134" t="s">
        <v>1261</v>
      </c>
      <c r="E136" s="44" t="s">
        <v>2</v>
      </c>
      <c r="F136" s="126"/>
      <c r="G136" s="126" t="s">
        <v>204</v>
      </c>
      <c r="H136" s="126" t="s">
        <v>204</v>
      </c>
    </row>
    <row r="137" spans="1:8" ht="26" x14ac:dyDescent="0.6">
      <c r="A137" s="127">
        <v>23242</v>
      </c>
      <c r="B137" s="128" t="s">
        <v>1596</v>
      </c>
      <c r="C137" s="128" t="s">
        <v>1384</v>
      </c>
      <c r="D137" s="135" t="s">
        <v>1261</v>
      </c>
      <c r="E137" s="44" t="s">
        <v>1255</v>
      </c>
      <c r="F137" s="128">
        <v>1</v>
      </c>
      <c r="G137" s="136">
        <v>23467</v>
      </c>
      <c r="H137" s="128" t="s">
        <v>1552</v>
      </c>
    </row>
    <row r="138" spans="1:8" ht="13" x14ac:dyDescent="0.6">
      <c r="A138" s="129"/>
      <c r="B138" s="126"/>
      <c r="C138" s="126"/>
      <c r="D138" s="134"/>
      <c r="E138" s="134"/>
      <c r="F138" s="126">
        <v>3</v>
      </c>
      <c r="G138" s="137">
        <v>23466</v>
      </c>
      <c r="H138" s="126" t="s">
        <v>1385</v>
      </c>
    </row>
    <row r="139" spans="1:8" ht="26" x14ac:dyDescent="0.6">
      <c r="A139" s="127">
        <v>23194</v>
      </c>
      <c r="B139" s="128" t="s">
        <v>1596</v>
      </c>
      <c r="C139" s="128" t="s">
        <v>1386</v>
      </c>
      <c r="D139" s="135" t="s">
        <v>1261</v>
      </c>
      <c r="E139" s="44" t="s">
        <v>1255</v>
      </c>
      <c r="F139" s="128">
        <v>3</v>
      </c>
      <c r="G139" s="136">
        <v>23563</v>
      </c>
      <c r="H139" s="128" t="s">
        <v>1553</v>
      </c>
    </row>
    <row r="140" spans="1:8" ht="26" x14ac:dyDescent="0.6">
      <c r="A140" s="125">
        <v>23166</v>
      </c>
      <c r="B140" s="126" t="s">
        <v>1596</v>
      </c>
      <c r="C140" s="126" t="s">
        <v>1387</v>
      </c>
      <c r="D140" s="134" t="s">
        <v>1261</v>
      </c>
      <c r="E140" s="44" t="s">
        <v>1255</v>
      </c>
      <c r="F140" s="126">
        <v>2</v>
      </c>
      <c r="G140" s="137">
        <v>23156</v>
      </c>
      <c r="H140" s="126" t="s">
        <v>1554</v>
      </c>
    </row>
    <row r="141" spans="1:8" ht="13" x14ac:dyDescent="0.6">
      <c r="A141" s="130"/>
      <c r="B141" s="128"/>
      <c r="C141" s="128"/>
      <c r="D141" s="135"/>
      <c r="E141" s="135"/>
      <c r="F141" s="128">
        <v>4</v>
      </c>
      <c r="G141" s="136">
        <v>23370</v>
      </c>
      <c r="H141" s="128" t="s">
        <v>1388</v>
      </c>
    </row>
    <row r="142" spans="1:8" ht="26" x14ac:dyDescent="0.6">
      <c r="A142" s="125">
        <v>23157</v>
      </c>
      <c r="B142" s="126" t="s">
        <v>1596</v>
      </c>
      <c r="C142" s="126" t="s">
        <v>1389</v>
      </c>
      <c r="D142" s="134" t="s">
        <v>1261</v>
      </c>
      <c r="E142" s="44" t="s">
        <v>1255</v>
      </c>
      <c r="F142" s="126"/>
      <c r="G142" s="137">
        <v>24481</v>
      </c>
      <c r="H142" s="126" t="s">
        <v>1780</v>
      </c>
    </row>
    <row r="143" spans="1:8" ht="13" x14ac:dyDescent="0.6">
      <c r="A143" s="127">
        <v>23129</v>
      </c>
      <c r="B143" s="128" t="s">
        <v>1596</v>
      </c>
      <c r="C143" s="128" t="s">
        <v>1390</v>
      </c>
      <c r="D143" s="135" t="s">
        <v>1261</v>
      </c>
      <c r="E143" s="135" t="s">
        <v>2</v>
      </c>
      <c r="F143" s="128"/>
      <c r="G143" s="128" t="s">
        <v>204</v>
      </c>
      <c r="H143" s="128" t="s">
        <v>204</v>
      </c>
    </row>
    <row r="144" spans="1:8" ht="13" x14ac:dyDescent="0.6">
      <c r="A144" s="125">
        <v>22678</v>
      </c>
      <c r="B144" s="126" t="s">
        <v>1596</v>
      </c>
      <c r="C144" s="126" t="s">
        <v>1391</v>
      </c>
      <c r="D144" s="134" t="s">
        <v>1261</v>
      </c>
      <c r="E144" s="134" t="s">
        <v>2</v>
      </c>
      <c r="F144" s="126"/>
      <c r="G144" s="126" t="s">
        <v>204</v>
      </c>
      <c r="H144" s="126" t="s">
        <v>204</v>
      </c>
    </row>
    <row r="145" spans="1:8" ht="26" x14ac:dyDescent="0.6">
      <c r="A145" s="127">
        <v>22448</v>
      </c>
      <c r="B145" s="128" t="s">
        <v>1596</v>
      </c>
      <c r="C145" s="128" t="s">
        <v>1392</v>
      </c>
      <c r="D145" s="135" t="s">
        <v>1261</v>
      </c>
      <c r="E145" s="44" t="s">
        <v>1255</v>
      </c>
      <c r="F145" s="128">
        <v>4</v>
      </c>
      <c r="G145" s="136">
        <v>22975</v>
      </c>
      <c r="H145" s="128" t="s">
        <v>1555</v>
      </c>
    </row>
    <row r="146" spans="1:8" ht="26" x14ac:dyDescent="0.6">
      <c r="A146" s="125">
        <v>22167</v>
      </c>
      <c r="B146" s="126" t="s">
        <v>1596</v>
      </c>
      <c r="C146" s="126" t="s">
        <v>1393</v>
      </c>
      <c r="D146" s="134" t="s">
        <v>1261</v>
      </c>
      <c r="E146" s="44" t="s">
        <v>1255</v>
      </c>
      <c r="F146" s="126"/>
      <c r="G146" s="137">
        <v>24673</v>
      </c>
      <c r="H146" s="126" t="s">
        <v>1781</v>
      </c>
    </row>
    <row r="147" spans="1:8" ht="26" x14ac:dyDescent="0.6">
      <c r="A147" s="127">
        <v>18552</v>
      </c>
      <c r="B147" s="128" t="s">
        <v>1596</v>
      </c>
      <c r="C147" s="128" t="s">
        <v>1394</v>
      </c>
      <c r="D147" s="135" t="s">
        <v>1261</v>
      </c>
      <c r="E147" s="44" t="s">
        <v>1255</v>
      </c>
      <c r="F147" s="128">
        <v>3</v>
      </c>
      <c r="G147" s="136">
        <v>23209</v>
      </c>
      <c r="H147" s="128" t="s">
        <v>1556</v>
      </c>
    </row>
    <row r="148" spans="1:8" ht="13" x14ac:dyDescent="0.6">
      <c r="A148" s="125">
        <v>23180</v>
      </c>
      <c r="B148" s="126" t="s">
        <v>1596</v>
      </c>
      <c r="C148" s="126" t="s">
        <v>1395</v>
      </c>
      <c r="D148" s="134" t="s">
        <v>1272</v>
      </c>
      <c r="E148" s="134" t="s">
        <v>2</v>
      </c>
      <c r="F148" s="126"/>
      <c r="G148" s="126" t="s">
        <v>204</v>
      </c>
      <c r="H148" s="126" t="s">
        <v>204</v>
      </c>
    </row>
    <row r="149" spans="1:8" ht="13" x14ac:dyDescent="0.6">
      <c r="A149" s="127">
        <v>22677</v>
      </c>
      <c r="B149" s="128" t="s">
        <v>1596</v>
      </c>
      <c r="C149" s="128" t="s">
        <v>1396</v>
      </c>
      <c r="D149" s="135" t="s">
        <v>1272</v>
      </c>
      <c r="E149" s="135" t="s">
        <v>2</v>
      </c>
      <c r="F149" s="128"/>
      <c r="G149" s="128" t="s">
        <v>204</v>
      </c>
      <c r="H149" s="128" t="s">
        <v>204</v>
      </c>
    </row>
    <row r="150" spans="1:8" ht="26" x14ac:dyDescent="0.6">
      <c r="A150" s="125">
        <v>22342</v>
      </c>
      <c r="B150" s="126" t="s">
        <v>1596</v>
      </c>
      <c r="C150" s="126" t="s">
        <v>1397</v>
      </c>
      <c r="D150" s="134" t="s">
        <v>1272</v>
      </c>
      <c r="E150" s="44" t="s">
        <v>1255</v>
      </c>
      <c r="F150" s="126"/>
      <c r="G150" s="137">
        <v>23560</v>
      </c>
      <c r="H150" s="126" t="s">
        <v>1782</v>
      </c>
    </row>
    <row r="151" spans="1:8" ht="26" x14ac:dyDescent="0.6">
      <c r="A151" s="127">
        <v>22341</v>
      </c>
      <c r="B151" s="128" t="s">
        <v>1596</v>
      </c>
      <c r="C151" s="128" t="s">
        <v>1398</v>
      </c>
      <c r="D151" s="135" t="s">
        <v>1272</v>
      </c>
      <c r="E151" s="44" t="s">
        <v>1255</v>
      </c>
      <c r="F151" s="128">
        <v>4</v>
      </c>
      <c r="G151" s="136">
        <v>22967</v>
      </c>
      <c r="H151" s="128" t="s">
        <v>1557</v>
      </c>
    </row>
    <row r="152" spans="1:8" ht="13" x14ac:dyDescent="0.6">
      <c r="A152" s="125">
        <v>25478</v>
      </c>
      <c r="B152" s="126" t="s">
        <v>1596</v>
      </c>
      <c r="C152" s="126" t="s">
        <v>1399</v>
      </c>
      <c r="D152" s="134" t="s">
        <v>304</v>
      </c>
      <c r="E152" s="134" t="s">
        <v>2</v>
      </c>
      <c r="F152" s="126"/>
      <c r="G152" s="126" t="s">
        <v>204</v>
      </c>
      <c r="H152" s="126" t="s">
        <v>204</v>
      </c>
    </row>
    <row r="153" spans="1:8" ht="13" x14ac:dyDescent="0.6">
      <c r="A153" s="127">
        <v>25395</v>
      </c>
      <c r="B153" s="128" t="s">
        <v>1596</v>
      </c>
      <c r="C153" s="128" t="s">
        <v>1400</v>
      </c>
      <c r="D153" s="135" t="s">
        <v>304</v>
      </c>
      <c r="E153" s="135" t="s">
        <v>2</v>
      </c>
      <c r="F153" s="128"/>
      <c r="G153" s="128" t="s">
        <v>204</v>
      </c>
      <c r="H153" s="128" t="s">
        <v>204</v>
      </c>
    </row>
    <row r="154" spans="1:8" ht="13" x14ac:dyDescent="0.6">
      <c r="A154" s="125">
        <v>25384</v>
      </c>
      <c r="B154" s="126" t="s">
        <v>1596</v>
      </c>
      <c r="C154" s="126" t="s">
        <v>1401</v>
      </c>
      <c r="D154" s="134" t="s">
        <v>304</v>
      </c>
      <c r="E154" s="134" t="s">
        <v>2</v>
      </c>
      <c r="F154" s="126"/>
      <c r="G154" s="126" t="s">
        <v>204</v>
      </c>
      <c r="H154" s="126" t="s">
        <v>204</v>
      </c>
    </row>
    <row r="155" spans="1:8" ht="13" x14ac:dyDescent="0.6">
      <c r="A155" s="127">
        <v>24903</v>
      </c>
      <c r="B155" s="128" t="s">
        <v>1596</v>
      </c>
      <c r="C155" s="128" t="s">
        <v>1402</v>
      </c>
      <c r="D155" s="135" t="s">
        <v>304</v>
      </c>
      <c r="E155" s="135" t="s">
        <v>2</v>
      </c>
      <c r="F155" s="128"/>
      <c r="G155" s="128" t="s">
        <v>204</v>
      </c>
      <c r="H155" s="128" t="s">
        <v>204</v>
      </c>
    </row>
    <row r="156" spans="1:8" ht="13" x14ac:dyDescent="0.6">
      <c r="A156" s="125">
        <v>24783</v>
      </c>
      <c r="B156" s="126" t="s">
        <v>1596</v>
      </c>
      <c r="C156" s="126" t="s">
        <v>1403</v>
      </c>
      <c r="D156" s="134" t="s">
        <v>304</v>
      </c>
      <c r="E156" s="134" t="s">
        <v>2</v>
      </c>
      <c r="F156" s="126"/>
      <c r="G156" s="126" t="s">
        <v>204</v>
      </c>
      <c r="H156" s="126" t="s">
        <v>204</v>
      </c>
    </row>
    <row r="157" spans="1:8" ht="13" x14ac:dyDescent="0.6">
      <c r="A157" s="127">
        <v>24285</v>
      </c>
      <c r="B157" s="128" t="s">
        <v>1596</v>
      </c>
      <c r="C157" s="128" t="s">
        <v>1404</v>
      </c>
      <c r="D157" s="135" t="s">
        <v>304</v>
      </c>
      <c r="E157" s="135" t="s">
        <v>2</v>
      </c>
      <c r="F157" s="128"/>
      <c r="G157" s="128" t="s">
        <v>204</v>
      </c>
      <c r="H157" s="128" t="s">
        <v>204</v>
      </c>
    </row>
    <row r="158" spans="1:8" ht="13" x14ac:dyDescent="0.6">
      <c r="A158" s="125">
        <v>24200</v>
      </c>
      <c r="B158" s="126" t="s">
        <v>1596</v>
      </c>
      <c r="C158" s="126" t="s">
        <v>1405</v>
      </c>
      <c r="D158" s="134" t="s">
        <v>304</v>
      </c>
      <c r="E158" s="134" t="s">
        <v>2</v>
      </c>
      <c r="F158" s="126"/>
      <c r="G158" s="126" t="s">
        <v>204</v>
      </c>
      <c r="H158" s="126" t="s">
        <v>204</v>
      </c>
    </row>
    <row r="159" spans="1:8" ht="13" x14ac:dyDescent="0.6">
      <c r="A159" s="127">
        <v>23982</v>
      </c>
      <c r="B159" s="128" t="s">
        <v>1596</v>
      </c>
      <c r="C159" s="128" t="s">
        <v>1406</v>
      </c>
      <c r="D159" s="135" t="s">
        <v>304</v>
      </c>
      <c r="E159" s="135" t="s">
        <v>2</v>
      </c>
      <c r="F159" s="128"/>
      <c r="G159" s="128" t="s">
        <v>204</v>
      </c>
      <c r="H159" s="128" t="s">
        <v>204</v>
      </c>
    </row>
    <row r="160" spans="1:8" ht="26" x14ac:dyDescent="0.6">
      <c r="A160" s="125">
        <v>23899</v>
      </c>
      <c r="B160" s="126" t="s">
        <v>1596</v>
      </c>
      <c r="C160" s="126" t="s">
        <v>1407</v>
      </c>
      <c r="D160" s="134" t="s">
        <v>304</v>
      </c>
      <c r="E160" s="44" t="s">
        <v>1255</v>
      </c>
      <c r="F160" s="126">
        <v>1</v>
      </c>
      <c r="G160" s="137">
        <v>23972</v>
      </c>
      <c r="H160" s="126" t="s">
        <v>1558</v>
      </c>
    </row>
    <row r="161" spans="1:8" ht="13" x14ac:dyDescent="0.6">
      <c r="A161" s="127">
        <v>23690</v>
      </c>
      <c r="B161" s="128" t="s">
        <v>1596</v>
      </c>
      <c r="C161" s="128" t="s">
        <v>1408</v>
      </c>
      <c r="D161" s="135" t="s">
        <v>304</v>
      </c>
      <c r="E161" s="135" t="s">
        <v>2</v>
      </c>
      <c r="F161" s="128"/>
      <c r="G161" s="128" t="s">
        <v>204</v>
      </c>
      <c r="H161" s="128" t="s">
        <v>204</v>
      </c>
    </row>
    <row r="162" spans="1:8" ht="13" x14ac:dyDescent="0.6">
      <c r="A162" s="125">
        <v>23070</v>
      </c>
      <c r="B162" s="126" t="s">
        <v>1596</v>
      </c>
      <c r="C162" s="126" t="s">
        <v>1409</v>
      </c>
      <c r="D162" s="134" t="s">
        <v>304</v>
      </c>
      <c r="E162" s="134" t="s">
        <v>2</v>
      </c>
      <c r="F162" s="126"/>
      <c r="G162" s="126" t="s">
        <v>204</v>
      </c>
      <c r="H162" s="126" t="s">
        <v>204</v>
      </c>
    </row>
    <row r="163" spans="1:8" ht="13" x14ac:dyDescent="0.6">
      <c r="A163" s="127">
        <v>22939</v>
      </c>
      <c r="B163" s="128" t="s">
        <v>1596</v>
      </c>
      <c r="C163" s="128" t="s">
        <v>1410</v>
      </c>
      <c r="D163" s="135" t="s">
        <v>304</v>
      </c>
      <c r="E163" s="135" t="s">
        <v>2</v>
      </c>
      <c r="F163" s="128"/>
      <c r="G163" s="128" t="s">
        <v>204</v>
      </c>
      <c r="H163" s="128" t="s">
        <v>204</v>
      </c>
    </row>
    <row r="164" spans="1:8" ht="13" x14ac:dyDescent="0.6">
      <c r="A164" s="125">
        <v>22906</v>
      </c>
      <c r="B164" s="126" t="s">
        <v>1596</v>
      </c>
      <c r="C164" s="126" t="s">
        <v>1411</v>
      </c>
      <c r="D164" s="134" t="s">
        <v>304</v>
      </c>
      <c r="E164" s="134" t="s">
        <v>2</v>
      </c>
      <c r="F164" s="126"/>
      <c r="G164" s="126" t="s">
        <v>204</v>
      </c>
      <c r="H164" s="126" t="s">
        <v>204</v>
      </c>
    </row>
    <row r="165" spans="1:8" ht="13" x14ac:dyDescent="0.6">
      <c r="A165" s="127">
        <v>22882</v>
      </c>
      <c r="B165" s="128" t="s">
        <v>1596</v>
      </c>
      <c r="C165" s="128" t="s">
        <v>1412</v>
      </c>
      <c r="D165" s="135" t="s">
        <v>304</v>
      </c>
      <c r="E165" s="135" t="s">
        <v>2</v>
      </c>
      <c r="F165" s="128"/>
      <c r="G165" s="128" t="s">
        <v>204</v>
      </c>
      <c r="H165" s="128" t="s">
        <v>204</v>
      </c>
    </row>
    <row r="166" spans="1:8" ht="13" x14ac:dyDescent="0.6">
      <c r="A166" s="125">
        <v>22869</v>
      </c>
      <c r="B166" s="126" t="s">
        <v>1596</v>
      </c>
      <c r="C166" s="126" t="s">
        <v>1413</v>
      </c>
      <c r="D166" s="134" t="s">
        <v>304</v>
      </c>
      <c r="E166" s="134" t="s">
        <v>2</v>
      </c>
      <c r="F166" s="126"/>
      <c r="G166" s="126" t="s">
        <v>204</v>
      </c>
      <c r="H166" s="126" t="s">
        <v>204</v>
      </c>
    </row>
    <row r="167" spans="1:8" ht="13" x14ac:dyDescent="0.6">
      <c r="A167" s="127">
        <v>22857</v>
      </c>
      <c r="B167" s="128" t="s">
        <v>1596</v>
      </c>
      <c r="C167" s="128" t="s">
        <v>1414</v>
      </c>
      <c r="D167" s="135" t="s">
        <v>304</v>
      </c>
      <c r="E167" s="135" t="s">
        <v>2</v>
      </c>
      <c r="F167" s="128"/>
      <c r="G167" s="128" t="s">
        <v>204</v>
      </c>
      <c r="H167" s="128" t="s">
        <v>204</v>
      </c>
    </row>
    <row r="168" spans="1:8" ht="26" x14ac:dyDescent="0.6">
      <c r="A168" s="125">
        <v>22791</v>
      </c>
      <c r="B168" s="126" t="s">
        <v>1596</v>
      </c>
      <c r="C168" s="126" t="s">
        <v>1415</v>
      </c>
      <c r="D168" s="134" t="s">
        <v>304</v>
      </c>
      <c r="E168" s="44" t="s">
        <v>1255</v>
      </c>
      <c r="F168" s="126">
        <v>4</v>
      </c>
      <c r="G168" s="137">
        <v>23008</v>
      </c>
      <c r="H168" s="126" t="s">
        <v>1559</v>
      </c>
    </row>
    <row r="169" spans="1:8" ht="13" x14ac:dyDescent="0.6">
      <c r="A169" s="127">
        <v>22691</v>
      </c>
      <c r="B169" s="128" t="s">
        <v>1596</v>
      </c>
      <c r="C169" s="128" t="s">
        <v>1416</v>
      </c>
      <c r="D169" s="135" t="s">
        <v>304</v>
      </c>
      <c r="E169" s="135" t="s">
        <v>2</v>
      </c>
      <c r="F169" s="128"/>
      <c r="G169" s="128" t="s">
        <v>204</v>
      </c>
      <c r="H169" s="128" t="s">
        <v>204</v>
      </c>
    </row>
    <row r="170" spans="1:8" ht="13" x14ac:dyDescent="0.6">
      <c r="A170" s="125">
        <v>22561</v>
      </c>
      <c r="B170" s="126" t="s">
        <v>1596</v>
      </c>
      <c r="C170" s="126" t="s">
        <v>1417</v>
      </c>
      <c r="D170" s="134" t="s">
        <v>304</v>
      </c>
      <c r="E170" s="134" t="s">
        <v>2</v>
      </c>
      <c r="F170" s="126"/>
      <c r="G170" s="126" t="s">
        <v>204</v>
      </c>
      <c r="H170" s="126" t="s">
        <v>204</v>
      </c>
    </row>
    <row r="171" spans="1:8" ht="13" x14ac:dyDescent="0.6">
      <c r="A171" s="127">
        <v>22550</v>
      </c>
      <c r="B171" s="128" t="s">
        <v>1596</v>
      </c>
      <c r="C171" s="128" t="s">
        <v>1418</v>
      </c>
      <c r="D171" s="135" t="s">
        <v>304</v>
      </c>
      <c r="E171" s="135" t="s">
        <v>2</v>
      </c>
      <c r="F171" s="128"/>
      <c r="G171" s="128" t="s">
        <v>204</v>
      </c>
      <c r="H171" s="128" t="s">
        <v>204</v>
      </c>
    </row>
    <row r="172" spans="1:8" ht="13" x14ac:dyDescent="0.6">
      <c r="A172" s="125">
        <v>22547</v>
      </c>
      <c r="B172" s="126" t="s">
        <v>1596</v>
      </c>
      <c r="C172" s="126" t="s">
        <v>1419</v>
      </c>
      <c r="D172" s="134" t="s">
        <v>304</v>
      </c>
      <c r="E172" s="134" t="s">
        <v>2</v>
      </c>
      <c r="F172" s="126"/>
      <c r="G172" s="126" t="s">
        <v>204</v>
      </c>
      <c r="H172" s="126" t="s">
        <v>204</v>
      </c>
    </row>
    <row r="173" spans="1:8" ht="13" x14ac:dyDescent="0.6">
      <c r="A173" s="127">
        <v>22539</v>
      </c>
      <c r="B173" s="128" t="s">
        <v>1596</v>
      </c>
      <c r="C173" s="128" t="s">
        <v>1420</v>
      </c>
      <c r="D173" s="135" t="s">
        <v>304</v>
      </c>
      <c r="E173" s="135" t="s">
        <v>2</v>
      </c>
      <c r="F173" s="128"/>
      <c r="G173" s="128" t="s">
        <v>204</v>
      </c>
      <c r="H173" s="128" t="s">
        <v>204</v>
      </c>
    </row>
    <row r="174" spans="1:8" ht="13" x14ac:dyDescent="0.6">
      <c r="A174" s="125">
        <v>22447</v>
      </c>
      <c r="B174" s="126" t="s">
        <v>1596</v>
      </c>
      <c r="C174" s="126" t="s">
        <v>1421</v>
      </c>
      <c r="D174" s="134" t="s">
        <v>304</v>
      </c>
      <c r="E174" s="134" t="s">
        <v>2</v>
      </c>
      <c r="F174" s="126"/>
      <c r="G174" s="126" t="s">
        <v>204</v>
      </c>
      <c r="H174" s="126" t="s">
        <v>204</v>
      </c>
    </row>
    <row r="175" spans="1:8" ht="13" x14ac:dyDescent="0.6">
      <c r="A175" s="127">
        <v>22373</v>
      </c>
      <c r="B175" s="128" t="s">
        <v>1596</v>
      </c>
      <c r="C175" s="128" t="s">
        <v>1422</v>
      </c>
      <c r="D175" s="135" t="s">
        <v>304</v>
      </c>
      <c r="E175" s="135" t="s">
        <v>2</v>
      </c>
      <c r="F175" s="128"/>
      <c r="G175" s="128" t="s">
        <v>204</v>
      </c>
      <c r="H175" s="128" t="s">
        <v>204</v>
      </c>
    </row>
    <row r="176" spans="1:8" ht="13" x14ac:dyDescent="0.6">
      <c r="A176" s="125">
        <v>22192</v>
      </c>
      <c r="B176" s="126" t="s">
        <v>1596</v>
      </c>
      <c r="C176" s="126" t="s">
        <v>1423</v>
      </c>
      <c r="D176" s="134" t="s">
        <v>304</v>
      </c>
      <c r="E176" s="134" t="s">
        <v>2</v>
      </c>
      <c r="F176" s="126">
        <v>2</v>
      </c>
      <c r="G176" s="137">
        <v>22146</v>
      </c>
      <c r="H176" s="126" t="s">
        <v>1560</v>
      </c>
    </row>
    <row r="177" spans="1:8" ht="13" x14ac:dyDescent="0.6">
      <c r="A177" s="127">
        <v>22332</v>
      </c>
      <c r="B177" s="128" t="s">
        <v>1597</v>
      </c>
      <c r="C177" s="128" t="s">
        <v>1424</v>
      </c>
      <c r="D177" s="135"/>
      <c r="E177" s="135" t="s">
        <v>2</v>
      </c>
      <c r="F177" s="128"/>
      <c r="G177" s="136">
        <v>22211</v>
      </c>
      <c r="H177" s="128" t="s">
        <v>1561</v>
      </c>
    </row>
    <row r="178" spans="1:8" ht="13" x14ac:dyDescent="0.6">
      <c r="A178" s="125">
        <v>25669</v>
      </c>
      <c r="B178" s="126" t="s">
        <v>1597</v>
      </c>
      <c r="C178" s="126" t="s">
        <v>1425</v>
      </c>
      <c r="D178" s="134" t="s">
        <v>1249</v>
      </c>
      <c r="E178" s="134" t="s">
        <v>2</v>
      </c>
      <c r="F178" s="126"/>
      <c r="G178" s="137">
        <v>25507</v>
      </c>
      <c r="H178" s="126" t="s">
        <v>1562</v>
      </c>
    </row>
    <row r="179" spans="1:8" ht="13" x14ac:dyDescent="0.6">
      <c r="A179" s="127">
        <v>18139</v>
      </c>
      <c r="B179" s="128" t="s">
        <v>1597</v>
      </c>
      <c r="C179" s="128" t="s">
        <v>1426</v>
      </c>
      <c r="D179" s="135" t="s">
        <v>1272</v>
      </c>
      <c r="E179" s="135" t="s">
        <v>2</v>
      </c>
      <c r="F179" s="128"/>
      <c r="G179" s="128" t="s">
        <v>204</v>
      </c>
      <c r="H179" s="128" t="s">
        <v>204</v>
      </c>
    </row>
    <row r="180" spans="1:8" ht="13" x14ac:dyDescent="0.6">
      <c r="A180" s="125">
        <v>22552</v>
      </c>
      <c r="B180" s="126" t="s">
        <v>1597</v>
      </c>
      <c r="C180" s="126" t="s">
        <v>1311</v>
      </c>
      <c r="D180" s="134" t="s">
        <v>304</v>
      </c>
      <c r="E180" s="134" t="s">
        <v>2</v>
      </c>
      <c r="F180" s="126"/>
      <c r="G180" s="126" t="s">
        <v>204</v>
      </c>
      <c r="H180" s="126" t="s">
        <v>204</v>
      </c>
    </row>
    <row r="181" spans="1:8" ht="13" x14ac:dyDescent="0.6">
      <c r="A181" s="127">
        <v>22895</v>
      </c>
      <c r="B181" s="128" t="s">
        <v>1598</v>
      </c>
      <c r="C181" s="128" t="s">
        <v>1427</v>
      </c>
      <c r="D181" s="135"/>
      <c r="E181" s="135" t="s">
        <v>2</v>
      </c>
      <c r="F181" s="128"/>
      <c r="G181" s="128" t="s">
        <v>204</v>
      </c>
      <c r="H181" s="128" t="s">
        <v>204</v>
      </c>
    </row>
    <row r="182" spans="1:8" ht="13" x14ac:dyDescent="0.6">
      <c r="A182" s="125">
        <v>17438</v>
      </c>
      <c r="B182" s="126" t="s">
        <v>1598</v>
      </c>
      <c r="C182" s="126" t="s">
        <v>1428</v>
      </c>
      <c r="D182" s="134"/>
      <c r="E182" s="134" t="s">
        <v>2</v>
      </c>
      <c r="F182" s="126"/>
      <c r="G182" s="126" t="s">
        <v>204</v>
      </c>
      <c r="H182" s="126" t="s">
        <v>204</v>
      </c>
    </row>
    <row r="183" spans="1:8" ht="13" x14ac:dyDescent="0.6">
      <c r="A183" s="127">
        <v>24573</v>
      </c>
      <c r="B183" s="128" t="s">
        <v>1598</v>
      </c>
      <c r="C183" s="128" t="s">
        <v>1429</v>
      </c>
      <c r="D183" s="135" t="s">
        <v>1249</v>
      </c>
      <c r="E183" s="135" t="s">
        <v>2</v>
      </c>
      <c r="F183" s="128"/>
      <c r="G183" s="128" t="s">
        <v>204</v>
      </c>
      <c r="H183" s="128" t="s">
        <v>204</v>
      </c>
    </row>
    <row r="184" spans="1:8" ht="26" x14ac:dyDescent="0.6">
      <c r="A184" s="125">
        <v>24194</v>
      </c>
      <c r="B184" s="126" t="s">
        <v>1598</v>
      </c>
      <c r="C184" s="126" t="s">
        <v>1430</v>
      </c>
      <c r="D184" s="134" t="s">
        <v>1249</v>
      </c>
      <c r="E184" s="44" t="s">
        <v>1255</v>
      </c>
      <c r="F184" s="126">
        <v>4</v>
      </c>
      <c r="G184" s="137">
        <v>24299</v>
      </c>
      <c r="H184" s="126" t="s">
        <v>1563</v>
      </c>
    </row>
    <row r="185" spans="1:8" ht="13" x14ac:dyDescent="0.6">
      <c r="A185" s="127">
        <v>23050</v>
      </c>
      <c r="B185" s="128" t="s">
        <v>1598</v>
      </c>
      <c r="C185" s="128" t="s">
        <v>1431</v>
      </c>
      <c r="D185" s="135" t="s">
        <v>1249</v>
      </c>
      <c r="E185" s="135" t="s">
        <v>2</v>
      </c>
      <c r="F185" s="128"/>
      <c r="G185" s="128" t="s">
        <v>204</v>
      </c>
      <c r="H185" s="128" t="s">
        <v>204</v>
      </c>
    </row>
    <row r="186" spans="1:8" ht="13" x14ac:dyDescent="0.6">
      <c r="A186" s="125">
        <v>22565</v>
      </c>
      <c r="B186" s="126" t="s">
        <v>1598</v>
      </c>
      <c r="C186" s="126" t="s">
        <v>1432</v>
      </c>
      <c r="D186" s="134" t="s">
        <v>1249</v>
      </c>
      <c r="E186" s="134" t="s">
        <v>2</v>
      </c>
      <c r="F186" s="126"/>
      <c r="G186" s="126" t="s">
        <v>204</v>
      </c>
      <c r="H186" s="126" t="s">
        <v>204</v>
      </c>
    </row>
    <row r="187" spans="1:8" ht="13" x14ac:dyDescent="0.6">
      <c r="A187" s="127">
        <v>22496</v>
      </c>
      <c r="B187" s="128" t="s">
        <v>1598</v>
      </c>
      <c r="C187" s="128" t="s">
        <v>1433</v>
      </c>
      <c r="D187" s="135" t="s">
        <v>1249</v>
      </c>
      <c r="E187" s="135" t="s">
        <v>2</v>
      </c>
      <c r="F187" s="128"/>
      <c r="G187" s="128" t="s">
        <v>204</v>
      </c>
      <c r="H187" s="128" t="s">
        <v>204</v>
      </c>
    </row>
    <row r="188" spans="1:8" ht="13" x14ac:dyDescent="0.6">
      <c r="A188" s="125">
        <v>22311</v>
      </c>
      <c r="B188" s="126" t="s">
        <v>1598</v>
      </c>
      <c r="C188" s="126" t="s">
        <v>1434</v>
      </c>
      <c r="D188" s="134" t="s">
        <v>1249</v>
      </c>
      <c r="E188" s="134" t="s">
        <v>2</v>
      </c>
      <c r="F188" s="126"/>
      <c r="G188" s="126" t="s">
        <v>204</v>
      </c>
      <c r="H188" s="126" t="s">
        <v>204</v>
      </c>
    </row>
    <row r="189" spans="1:8" ht="13" x14ac:dyDescent="0.6">
      <c r="A189" s="127">
        <v>20658</v>
      </c>
      <c r="B189" s="128" t="s">
        <v>1598</v>
      </c>
      <c r="C189" s="128" t="s">
        <v>1435</v>
      </c>
      <c r="D189" s="135" t="s">
        <v>1249</v>
      </c>
      <c r="E189" s="135" t="s">
        <v>2</v>
      </c>
      <c r="F189" s="128"/>
      <c r="G189" s="128" t="s">
        <v>204</v>
      </c>
      <c r="H189" s="128" t="s">
        <v>204</v>
      </c>
    </row>
    <row r="190" spans="1:8" ht="26" x14ac:dyDescent="0.6">
      <c r="A190" s="125">
        <v>17874</v>
      </c>
      <c r="B190" s="126" t="s">
        <v>1598</v>
      </c>
      <c r="C190" s="126" t="s">
        <v>1436</v>
      </c>
      <c r="D190" s="134" t="s">
        <v>1249</v>
      </c>
      <c r="E190" s="44" t="s">
        <v>1255</v>
      </c>
      <c r="F190" s="126">
        <v>2</v>
      </c>
      <c r="G190" s="137">
        <v>18350</v>
      </c>
      <c r="H190" s="126" t="s">
        <v>1564</v>
      </c>
    </row>
    <row r="191" spans="1:8" ht="13" x14ac:dyDescent="0.6">
      <c r="A191" s="130"/>
      <c r="B191" s="128"/>
      <c r="C191" s="128"/>
      <c r="D191" s="135"/>
      <c r="E191" s="135"/>
      <c r="F191" s="128">
        <v>2</v>
      </c>
      <c r="G191" s="136">
        <v>18402</v>
      </c>
      <c r="H191" s="128" t="s">
        <v>1437</v>
      </c>
    </row>
    <row r="192" spans="1:8" ht="13" x14ac:dyDescent="0.6">
      <c r="A192" s="129"/>
      <c r="B192" s="126"/>
      <c r="C192" s="126"/>
      <c r="D192" s="134"/>
      <c r="E192" s="134"/>
      <c r="F192" s="126">
        <v>2</v>
      </c>
      <c r="G192" s="137">
        <v>24877</v>
      </c>
      <c r="H192" s="126" t="s">
        <v>1438</v>
      </c>
    </row>
    <row r="193" spans="1:8" ht="13" x14ac:dyDescent="0.6">
      <c r="A193" s="130"/>
      <c r="B193" s="128"/>
      <c r="C193" s="128"/>
      <c r="D193" s="135"/>
      <c r="E193" s="135"/>
      <c r="F193" s="128">
        <v>2</v>
      </c>
      <c r="G193" s="136">
        <v>24878</v>
      </c>
      <c r="H193" s="128" t="s">
        <v>1439</v>
      </c>
    </row>
    <row r="194" spans="1:8" ht="26" x14ac:dyDescent="0.6">
      <c r="A194" s="125">
        <v>23616</v>
      </c>
      <c r="B194" s="126" t="s">
        <v>1598</v>
      </c>
      <c r="C194" s="126" t="s">
        <v>1440</v>
      </c>
      <c r="D194" s="134" t="s">
        <v>1261</v>
      </c>
      <c r="E194" s="44" t="s">
        <v>1255</v>
      </c>
      <c r="F194" s="126"/>
      <c r="G194" s="137">
        <v>24806</v>
      </c>
      <c r="H194" s="126" t="s">
        <v>1565</v>
      </c>
    </row>
    <row r="195" spans="1:8" ht="13" x14ac:dyDescent="0.6">
      <c r="A195" s="127">
        <v>23295</v>
      </c>
      <c r="B195" s="128" t="s">
        <v>1598</v>
      </c>
      <c r="C195" s="128" t="s">
        <v>1441</v>
      </c>
      <c r="D195" s="135" t="s">
        <v>1261</v>
      </c>
      <c r="E195" s="135" t="s">
        <v>2</v>
      </c>
      <c r="F195" s="128"/>
      <c r="G195" s="128" t="s">
        <v>204</v>
      </c>
      <c r="H195" s="128" t="s">
        <v>204</v>
      </c>
    </row>
    <row r="196" spans="1:8" ht="13" x14ac:dyDescent="0.6">
      <c r="A196" s="125">
        <v>23192</v>
      </c>
      <c r="B196" s="126" t="s">
        <v>1598</v>
      </c>
      <c r="C196" s="126" t="s">
        <v>1442</v>
      </c>
      <c r="D196" s="134" t="s">
        <v>1261</v>
      </c>
      <c r="E196" s="134" t="s">
        <v>2</v>
      </c>
      <c r="F196" s="126"/>
      <c r="G196" s="126" t="s">
        <v>204</v>
      </c>
      <c r="H196" s="126" t="s">
        <v>204</v>
      </c>
    </row>
    <row r="197" spans="1:8" ht="26" x14ac:dyDescent="0.6">
      <c r="A197" s="127">
        <v>23069</v>
      </c>
      <c r="B197" s="128" t="s">
        <v>1598</v>
      </c>
      <c r="C197" s="128" t="s">
        <v>1443</v>
      </c>
      <c r="D197" s="135" t="s">
        <v>1261</v>
      </c>
      <c r="E197" s="44" t="s">
        <v>1255</v>
      </c>
      <c r="F197" s="128">
        <v>4</v>
      </c>
      <c r="G197" s="136">
        <v>23586</v>
      </c>
      <c r="H197" s="128" t="s">
        <v>1444</v>
      </c>
    </row>
    <row r="198" spans="1:8" ht="13" x14ac:dyDescent="0.6">
      <c r="A198" s="129"/>
      <c r="B198" s="126"/>
      <c r="C198" s="126"/>
      <c r="D198" s="134"/>
      <c r="E198" s="134"/>
      <c r="F198" s="126">
        <v>4</v>
      </c>
      <c r="G198" s="137">
        <v>23565</v>
      </c>
      <c r="H198" s="126" t="s">
        <v>1445</v>
      </c>
    </row>
    <row r="199" spans="1:8" ht="26" x14ac:dyDescent="0.6">
      <c r="A199" s="127">
        <v>22973</v>
      </c>
      <c r="B199" s="128" t="s">
        <v>1598</v>
      </c>
      <c r="C199" s="128" t="s">
        <v>1446</v>
      </c>
      <c r="D199" s="135" t="s">
        <v>1261</v>
      </c>
      <c r="E199" s="44" t="s">
        <v>1255</v>
      </c>
      <c r="F199" s="128">
        <v>4</v>
      </c>
      <c r="G199" s="136">
        <v>23485</v>
      </c>
      <c r="H199" s="128" t="s">
        <v>1566</v>
      </c>
    </row>
    <row r="200" spans="1:8" ht="13" x14ac:dyDescent="0.6">
      <c r="A200" s="125">
        <v>22835</v>
      </c>
      <c r="B200" s="126" t="s">
        <v>1598</v>
      </c>
      <c r="C200" s="126" t="s">
        <v>1447</v>
      </c>
      <c r="D200" s="134" t="s">
        <v>1261</v>
      </c>
      <c r="E200" s="134" t="s">
        <v>2</v>
      </c>
      <c r="F200" s="126"/>
      <c r="G200" s="126" t="s">
        <v>204</v>
      </c>
      <c r="H200" s="126" t="s">
        <v>204</v>
      </c>
    </row>
    <row r="201" spans="1:8" ht="13" x14ac:dyDescent="0.6">
      <c r="A201" s="127">
        <v>22649</v>
      </c>
      <c r="B201" s="128" t="s">
        <v>1598</v>
      </c>
      <c r="C201" s="128" t="s">
        <v>1448</v>
      </c>
      <c r="D201" s="135" t="s">
        <v>1261</v>
      </c>
      <c r="E201" s="135" t="s">
        <v>2</v>
      </c>
      <c r="F201" s="128"/>
      <c r="G201" s="136">
        <v>22642</v>
      </c>
      <c r="H201" s="128" t="s">
        <v>1567</v>
      </c>
    </row>
    <row r="202" spans="1:8" ht="26" x14ac:dyDescent="0.6">
      <c r="A202" s="125">
        <v>22648</v>
      </c>
      <c r="B202" s="126" t="s">
        <v>1598</v>
      </c>
      <c r="C202" s="126" t="s">
        <v>1449</v>
      </c>
      <c r="D202" s="134" t="s">
        <v>1261</v>
      </c>
      <c r="E202" s="44" t="s">
        <v>1255</v>
      </c>
      <c r="F202" s="126"/>
      <c r="G202" s="137">
        <v>22642</v>
      </c>
      <c r="H202" s="126" t="s">
        <v>1567</v>
      </c>
    </row>
    <row r="203" spans="1:8" ht="13" x14ac:dyDescent="0.6">
      <c r="A203" s="130"/>
      <c r="B203" s="128"/>
      <c r="C203" s="128"/>
      <c r="D203" s="135"/>
      <c r="E203" s="135"/>
      <c r="F203" s="128">
        <v>3</v>
      </c>
      <c r="G203" s="136">
        <v>23009</v>
      </c>
      <c r="H203" s="128" t="s">
        <v>1450</v>
      </c>
    </row>
    <row r="204" spans="1:8" ht="26" x14ac:dyDescent="0.6">
      <c r="A204" s="125">
        <v>22479</v>
      </c>
      <c r="B204" s="126" t="s">
        <v>1598</v>
      </c>
      <c r="C204" s="126" t="s">
        <v>1451</v>
      </c>
      <c r="D204" s="134" t="s">
        <v>1261</v>
      </c>
      <c r="E204" s="44" t="s">
        <v>1255</v>
      </c>
      <c r="F204" s="126"/>
      <c r="G204" s="137">
        <v>22478</v>
      </c>
      <c r="H204" s="126" t="s">
        <v>1568</v>
      </c>
    </row>
    <row r="205" spans="1:8" ht="13" x14ac:dyDescent="0.6">
      <c r="A205" s="130"/>
      <c r="B205" s="128"/>
      <c r="C205" s="128"/>
      <c r="D205" s="135"/>
      <c r="E205" s="135"/>
      <c r="F205" s="128">
        <v>4</v>
      </c>
      <c r="G205" s="136">
        <v>23119</v>
      </c>
      <c r="H205" s="128" t="s">
        <v>1452</v>
      </c>
    </row>
    <row r="206" spans="1:8" ht="26" x14ac:dyDescent="0.6">
      <c r="A206" s="125">
        <v>22181</v>
      </c>
      <c r="B206" s="126" t="s">
        <v>1598</v>
      </c>
      <c r="C206" s="126" t="s">
        <v>1453</v>
      </c>
      <c r="D206" s="134" t="s">
        <v>1261</v>
      </c>
      <c r="E206" s="44" t="s">
        <v>1255</v>
      </c>
      <c r="F206" s="126">
        <v>4</v>
      </c>
      <c r="G206" s="137">
        <v>22390</v>
      </c>
      <c r="H206" s="126" t="s">
        <v>1569</v>
      </c>
    </row>
    <row r="207" spans="1:8" ht="26" x14ac:dyDescent="0.6">
      <c r="A207" s="127">
        <v>18973</v>
      </c>
      <c r="B207" s="128" t="s">
        <v>1598</v>
      </c>
      <c r="C207" s="128" t="s">
        <v>1454</v>
      </c>
      <c r="D207" s="135" t="s">
        <v>1261</v>
      </c>
      <c r="E207" s="44" t="s">
        <v>1255</v>
      </c>
      <c r="F207" s="128">
        <v>5</v>
      </c>
      <c r="G207" s="136">
        <v>24671</v>
      </c>
      <c r="H207" s="128" t="s">
        <v>1784</v>
      </c>
    </row>
    <row r="208" spans="1:8" ht="13" x14ac:dyDescent="0.6">
      <c r="A208" s="129"/>
      <c r="B208" s="126"/>
      <c r="C208" s="126"/>
      <c r="D208" s="134"/>
      <c r="E208" s="134"/>
      <c r="F208" s="126"/>
      <c r="G208" s="137">
        <v>24672</v>
      </c>
      <c r="H208" s="126" t="s">
        <v>1783</v>
      </c>
    </row>
    <row r="209" spans="1:8" ht="13" x14ac:dyDescent="0.6">
      <c r="A209" s="127">
        <v>18703</v>
      </c>
      <c r="B209" s="128" t="s">
        <v>1598</v>
      </c>
      <c r="C209" s="128" t="s">
        <v>1455</v>
      </c>
      <c r="D209" s="135" t="s">
        <v>1261</v>
      </c>
      <c r="E209" s="135" t="s">
        <v>2</v>
      </c>
      <c r="F209" s="128"/>
      <c r="G209" s="128" t="s">
        <v>204</v>
      </c>
      <c r="H209" s="128" t="s">
        <v>204</v>
      </c>
    </row>
    <row r="210" spans="1:8" ht="26" x14ac:dyDescent="0.6">
      <c r="A210" s="125">
        <v>24590</v>
      </c>
      <c r="B210" s="126" t="s">
        <v>1598</v>
      </c>
      <c r="C210" s="126" t="s">
        <v>1456</v>
      </c>
      <c r="D210" s="134" t="s">
        <v>1272</v>
      </c>
      <c r="E210" s="44" t="s">
        <v>1255</v>
      </c>
      <c r="F210" s="126"/>
      <c r="G210" s="137">
        <v>24707</v>
      </c>
      <c r="H210" s="126" t="s">
        <v>1785</v>
      </c>
    </row>
    <row r="211" spans="1:8" ht="26" x14ac:dyDescent="0.6">
      <c r="A211" s="127">
        <v>23108</v>
      </c>
      <c r="B211" s="128" t="s">
        <v>1598</v>
      </c>
      <c r="C211" s="128" t="s">
        <v>1457</v>
      </c>
      <c r="D211" s="135" t="s">
        <v>1272</v>
      </c>
      <c r="E211" s="44" t="s">
        <v>1255</v>
      </c>
      <c r="F211" s="128">
        <v>4</v>
      </c>
      <c r="G211" s="136">
        <v>24333</v>
      </c>
      <c r="H211" s="128" t="s">
        <v>1570</v>
      </c>
    </row>
    <row r="212" spans="1:8" ht="13" x14ac:dyDescent="0.6">
      <c r="A212" s="125">
        <v>25513</v>
      </c>
      <c r="B212" s="126" t="s">
        <v>1598</v>
      </c>
      <c r="C212" s="126" t="s">
        <v>1458</v>
      </c>
      <c r="D212" s="134" t="s">
        <v>304</v>
      </c>
      <c r="E212" s="134" t="s">
        <v>2</v>
      </c>
      <c r="F212" s="126"/>
      <c r="G212" s="126" t="s">
        <v>204</v>
      </c>
      <c r="H212" s="126" t="s">
        <v>204</v>
      </c>
    </row>
    <row r="213" spans="1:8" ht="13" x14ac:dyDescent="0.6">
      <c r="A213" s="127">
        <v>24688</v>
      </c>
      <c r="B213" s="128" t="s">
        <v>1598</v>
      </c>
      <c r="C213" s="128" t="s">
        <v>1459</v>
      </c>
      <c r="D213" s="135" t="s">
        <v>304</v>
      </c>
      <c r="E213" s="135" t="s">
        <v>2</v>
      </c>
      <c r="F213" s="128"/>
      <c r="G213" s="136">
        <v>24225</v>
      </c>
      <c r="H213" s="128" t="s">
        <v>1571</v>
      </c>
    </row>
    <row r="214" spans="1:8" ht="13" x14ac:dyDescent="0.6">
      <c r="A214" s="125">
        <v>24373</v>
      </c>
      <c r="B214" s="126" t="s">
        <v>1598</v>
      </c>
      <c r="C214" s="126" t="s">
        <v>1460</v>
      </c>
      <c r="D214" s="134" t="s">
        <v>304</v>
      </c>
      <c r="E214" s="134" t="s">
        <v>2</v>
      </c>
      <c r="F214" s="126"/>
      <c r="G214" s="126" t="s">
        <v>204</v>
      </c>
      <c r="H214" s="126" t="s">
        <v>204</v>
      </c>
    </row>
    <row r="215" spans="1:8" ht="13" x14ac:dyDescent="0.6">
      <c r="A215" s="127">
        <v>24372</v>
      </c>
      <c r="B215" s="128" t="s">
        <v>1598</v>
      </c>
      <c r="C215" s="128" t="s">
        <v>1461</v>
      </c>
      <c r="D215" s="135" t="s">
        <v>304</v>
      </c>
      <c r="E215" s="135" t="s">
        <v>2</v>
      </c>
      <c r="F215" s="128"/>
      <c r="G215" s="128" t="s">
        <v>204</v>
      </c>
      <c r="H215" s="128" t="s">
        <v>204</v>
      </c>
    </row>
    <row r="216" spans="1:8" ht="13" x14ac:dyDescent="0.6">
      <c r="A216" s="125">
        <v>24371</v>
      </c>
      <c r="B216" s="126" t="s">
        <v>1598</v>
      </c>
      <c r="C216" s="126" t="s">
        <v>1462</v>
      </c>
      <c r="D216" s="134" t="s">
        <v>304</v>
      </c>
      <c r="E216" s="134" t="s">
        <v>2</v>
      </c>
      <c r="F216" s="126"/>
      <c r="G216" s="126" t="s">
        <v>204</v>
      </c>
      <c r="H216" s="126" t="s">
        <v>204</v>
      </c>
    </row>
    <row r="217" spans="1:8" ht="13" x14ac:dyDescent="0.6">
      <c r="A217" s="127">
        <v>22700</v>
      </c>
      <c r="B217" s="128" t="s">
        <v>1598</v>
      </c>
      <c r="C217" s="128" t="s">
        <v>1463</v>
      </c>
      <c r="D217" s="135" t="s">
        <v>304</v>
      </c>
      <c r="E217" s="135" t="s">
        <v>2</v>
      </c>
      <c r="F217" s="128"/>
      <c r="G217" s="128" t="s">
        <v>204</v>
      </c>
      <c r="H217" s="128" t="s">
        <v>204</v>
      </c>
    </row>
    <row r="218" spans="1:8" ht="13" x14ac:dyDescent="0.6">
      <c r="A218" s="125">
        <v>22591</v>
      </c>
      <c r="B218" s="126" t="s">
        <v>1598</v>
      </c>
      <c r="C218" s="126" t="s">
        <v>1464</v>
      </c>
      <c r="D218" s="134" t="s">
        <v>304</v>
      </c>
      <c r="E218" s="134" t="s">
        <v>2</v>
      </c>
      <c r="F218" s="126"/>
      <c r="G218" s="126" t="s">
        <v>204</v>
      </c>
      <c r="H218" s="126" t="s">
        <v>204</v>
      </c>
    </row>
    <row r="219" spans="1:8" ht="13" x14ac:dyDescent="0.6">
      <c r="A219" s="127">
        <v>22556</v>
      </c>
      <c r="B219" s="128" t="s">
        <v>1598</v>
      </c>
      <c r="C219" s="128" t="s">
        <v>1335</v>
      </c>
      <c r="D219" s="135" t="s">
        <v>304</v>
      </c>
      <c r="E219" s="135" t="s">
        <v>2</v>
      </c>
      <c r="F219" s="128"/>
      <c r="G219" s="128" t="s">
        <v>204</v>
      </c>
      <c r="H219" s="128" t="s">
        <v>204</v>
      </c>
    </row>
    <row r="220" spans="1:8" ht="13" x14ac:dyDescent="0.6">
      <c r="A220" s="125">
        <v>22555</v>
      </c>
      <c r="B220" s="126" t="s">
        <v>1598</v>
      </c>
      <c r="C220" s="126" t="s">
        <v>1465</v>
      </c>
      <c r="D220" s="134" t="s">
        <v>304</v>
      </c>
      <c r="E220" s="134" t="s">
        <v>2</v>
      </c>
      <c r="F220" s="126"/>
      <c r="G220" s="126" t="s">
        <v>204</v>
      </c>
      <c r="H220" s="126" t="s">
        <v>204</v>
      </c>
    </row>
    <row r="221" spans="1:8" ht="13" x14ac:dyDescent="0.6">
      <c r="A221" s="127">
        <v>22554</v>
      </c>
      <c r="B221" s="128" t="s">
        <v>1598</v>
      </c>
      <c r="C221" s="128" t="s">
        <v>1466</v>
      </c>
      <c r="D221" s="135" t="s">
        <v>304</v>
      </c>
      <c r="E221" s="135" t="s">
        <v>2</v>
      </c>
      <c r="F221" s="128"/>
      <c r="G221" s="128" t="s">
        <v>204</v>
      </c>
      <c r="H221" s="128" t="s">
        <v>204</v>
      </c>
    </row>
    <row r="222" spans="1:8" ht="13" x14ac:dyDescent="0.6">
      <c r="A222" s="125">
        <v>22553</v>
      </c>
      <c r="B222" s="126" t="s">
        <v>1598</v>
      </c>
      <c r="C222" s="126" t="s">
        <v>1467</v>
      </c>
      <c r="D222" s="134" t="s">
        <v>304</v>
      </c>
      <c r="E222" s="134" t="s">
        <v>2</v>
      </c>
      <c r="F222" s="126"/>
      <c r="G222" s="126" t="s">
        <v>204</v>
      </c>
      <c r="H222" s="126" t="s">
        <v>204</v>
      </c>
    </row>
    <row r="223" spans="1:8" ht="13" x14ac:dyDescent="0.6">
      <c r="A223" s="127">
        <v>24308</v>
      </c>
      <c r="B223" s="128" t="s">
        <v>1599</v>
      </c>
      <c r="C223" s="128" t="s">
        <v>1468</v>
      </c>
      <c r="D223" s="135" t="s">
        <v>1249</v>
      </c>
      <c r="E223" s="135" t="s">
        <v>2</v>
      </c>
      <c r="F223" s="128"/>
      <c r="G223" s="128" t="s">
        <v>204</v>
      </c>
      <c r="H223" s="128" t="s">
        <v>204</v>
      </c>
    </row>
    <row r="224" spans="1:8" ht="13" x14ac:dyDescent="0.6">
      <c r="A224" s="125">
        <v>22928</v>
      </c>
      <c r="B224" s="126" t="s">
        <v>1599</v>
      </c>
      <c r="C224" s="126" t="s">
        <v>1469</v>
      </c>
      <c r="D224" s="134" t="s">
        <v>1249</v>
      </c>
      <c r="E224" s="134" t="s">
        <v>2</v>
      </c>
      <c r="F224" s="126"/>
      <c r="G224" s="126" t="s">
        <v>204</v>
      </c>
      <c r="H224" s="126" t="s">
        <v>204</v>
      </c>
    </row>
    <row r="225" spans="1:8" ht="13" x14ac:dyDescent="0.6">
      <c r="A225" s="127">
        <v>20644</v>
      </c>
      <c r="B225" s="128" t="s">
        <v>1600</v>
      </c>
      <c r="C225" s="128" t="s">
        <v>1470</v>
      </c>
      <c r="D225" s="135" t="s">
        <v>1249</v>
      </c>
      <c r="E225" s="135" t="s">
        <v>2</v>
      </c>
      <c r="F225" s="128"/>
      <c r="G225" s="128" t="s">
        <v>204</v>
      </c>
      <c r="H225" s="128" t="s">
        <v>204</v>
      </c>
    </row>
    <row r="226" spans="1:8" ht="13" x14ac:dyDescent="0.6">
      <c r="A226" s="125">
        <v>22584</v>
      </c>
      <c r="B226" s="126" t="s">
        <v>1601</v>
      </c>
      <c r="C226" s="126" t="s">
        <v>1471</v>
      </c>
      <c r="D226" s="134" t="s">
        <v>304</v>
      </c>
      <c r="E226" s="134" t="s">
        <v>2</v>
      </c>
      <c r="F226" s="126"/>
      <c r="G226" s="126" t="s">
        <v>204</v>
      </c>
      <c r="H226" s="126" t="s">
        <v>204</v>
      </c>
    </row>
    <row r="227" spans="1:8" ht="26" x14ac:dyDescent="0.6">
      <c r="A227" s="127">
        <v>24856</v>
      </c>
      <c r="B227" s="128" t="s">
        <v>1602</v>
      </c>
      <c r="C227" s="128" t="s">
        <v>1472</v>
      </c>
      <c r="D227" s="135" t="s">
        <v>1261</v>
      </c>
      <c r="E227" s="44" t="s">
        <v>1266</v>
      </c>
      <c r="F227" s="128"/>
      <c r="G227" s="136">
        <v>24417</v>
      </c>
      <c r="H227" s="128" t="s">
        <v>1479</v>
      </c>
    </row>
    <row r="228" spans="1:8" ht="13" x14ac:dyDescent="0.6">
      <c r="A228" s="129"/>
      <c r="B228" s="126"/>
      <c r="C228" s="126"/>
      <c r="D228" s="134"/>
      <c r="E228" s="134"/>
      <c r="F228" s="126"/>
      <c r="G228" s="137">
        <v>23469</v>
      </c>
      <c r="H228" s="126" t="s">
        <v>1473</v>
      </c>
    </row>
    <row r="229" spans="1:8" ht="13" x14ac:dyDescent="0.6">
      <c r="A229" s="130"/>
      <c r="B229" s="128"/>
      <c r="C229" s="128"/>
      <c r="D229" s="135"/>
      <c r="E229" s="135"/>
      <c r="F229" s="128">
        <v>4</v>
      </c>
      <c r="G229" s="136">
        <v>25010</v>
      </c>
      <c r="H229" s="128" t="s">
        <v>1474</v>
      </c>
    </row>
    <row r="230" spans="1:8" ht="13" x14ac:dyDescent="0.6">
      <c r="A230" s="125">
        <v>24763</v>
      </c>
      <c r="B230" s="126" t="s">
        <v>1602</v>
      </c>
      <c r="C230" s="126" t="s">
        <v>1475</v>
      </c>
      <c r="D230" s="134" t="s">
        <v>304</v>
      </c>
      <c r="E230" s="134" t="s">
        <v>2</v>
      </c>
      <c r="F230" s="126"/>
      <c r="G230" s="126" t="s">
        <v>204</v>
      </c>
      <c r="H230" s="126" t="s">
        <v>204</v>
      </c>
    </row>
    <row r="231" spans="1:8" ht="13" x14ac:dyDescent="0.6">
      <c r="A231" s="127">
        <v>24011</v>
      </c>
      <c r="B231" s="128" t="s">
        <v>1602</v>
      </c>
      <c r="C231" s="128" t="s">
        <v>1476</v>
      </c>
      <c r="D231" s="135" t="s">
        <v>304</v>
      </c>
      <c r="E231" s="135" t="s">
        <v>2</v>
      </c>
      <c r="F231" s="128"/>
      <c r="G231" s="128" t="s">
        <v>204</v>
      </c>
      <c r="H231" s="128" t="s">
        <v>204</v>
      </c>
    </row>
    <row r="232" spans="1:8" ht="13" x14ac:dyDescent="0.6">
      <c r="A232" s="125">
        <v>23726</v>
      </c>
      <c r="B232" s="126" t="s">
        <v>1602</v>
      </c>
      <c r="C232" s="126" t="s">
        <v>1477</v>
      </c>
      <c r="D232" s="134" t="s">
        <v>304</v>
      </c>
      <c r="E232" s="134" t="s">
        <v>2</v>
      </c>
      <c r="F232" s="126"/>
      <c r="G232" s="126" t="s">
        <v>204</v>
      </c>
      <c r="H232" s="126" t="s">
        <v>204</v>
      </c>
    </row>
    <row r="233" spans="1:8" ht="26" x14ac:dyDescent="0.6">
      <c r="A233" s="127">
        <v>22876</v>
      </c>
      <c r="B233" s="128" t="s">
        <v>1602</v>
      </c>
      <c r="C233" s="128" t="s">
        <v>1478</v>
      </c>
      <c r="D233" s="135" t="s">
        <v>304</v>
      </c>
      <c r="E233" s="44" t="s">
        <v>1255</v>
      </c>
      <c r="F233" s="128"/>
      <c r="G233" s="136">
        <v>23469</v>
      </c>
      <c r="H233" s="128" t="s">
        <v>1473</v>
      </c>
    </row>
    <row r="234" spans="1:8" ht="13" x14ac:dyDescent="0.6">
      <c r="A234" s="129"/>
      <c r="B234" s="126"/>
      <c r="C234" s="126"/>
      <c r="D234" s="134"/>
      <c r="E234" s="134"/>
      <c r="F234" s="126"/>
      <c r="G234" s="137">
        <v>24417</v>
      </c>
      <c r="H234" s="126" t="s">
        <v>1479</v>
      </c>
    </row>
    <row r="235" spans="1:8" ht="13" x14ac:dyDescent="0.6">
      <c r="A235" s="127">
        <v>20485</v>
      </c>
      <c r="B235" s="128" t="s">
        <v>1602</v>
      </c>
      <c r="C235" s="128" t="s">
        <v>1480</v>
      </c>
      <c r="D235" s="135" t="s">
        <v>304</v>
      </c>
      <c r="E235" s="135" t="s">
        <v>2</v>
      </c>
      <c r="F235" s="128"/>
      <c r="G235" s="128" t="s">
        <v>204</v>
      </c>
      <c r="H235" s="128" t="s">
        <v>204</v>
      </c>
    </row>
    <row r="236" spans="1:8" ht="13" x14ac:dyDescent="0.6">
      <c r="A236" s="125">
        <v>22652</v>
      </c>
      <c r="B236" s="126" t="s">
        <v>1603</v>
      </c>
      <c r="C236" s="126" t="s">
        <v>1481</v>
      </c>
      <c r="D236" s="134"/>
      <c r="E236" s="134" t="s">
        <v>2</v>
      </c>
      <c r="F236" s="126"/>
      <c r="G236" s="126" t="s">
        <v>204</v>
      </c>
      <c r="H236" s="126" t="s">
        <v>204</v>
      </c>
    </row>
    <row r="237" spans="1:8" ht="13" x14ac:dyDescent="0.6">
      <c r="A237" s="127">
        <v>24461</v>
      </c>
      <c r="B237" s="128" t="s">
        <v>1604</v>
      </c>
      <c r="C237" s="128" t="s">
        <v>1482</v>
      </c>
      <c r="D237" s="135" t="s">
        <v>1249</v>
      </c>
      <c r="E237" s="135" t="s">
        <v>2</v>
      </c>
      <c r="F237" s="128"/>
      <c r="G237" s="136"/>
      <c r="H237" s="128"/>
    </row>
    <row r="238" spans="1:8" ht="26" x14ac:dyDescent="0.6">
      <c r="A238" s="125">
        <v>18960</v>
      </c>
      <c r="B238" s="126" t="s">
        <v>1604</v>
      </c>
      <c r="C238" s="126" t="s">
        <v>1483</v>
      </c>
      <c r="D238" s="134" t="s">
        <v>1249</v>
      </c>
      <c r="E238" s="44" t="s">
        <v>1255</v>
      </c>
      <c r="F238" s="126">
        <v>2</v>
      </c>
      <c r="G238" s="137">
        <v>18957</v>
      </c>
      <c r="H238" s="126" t="s">
        <v>1572</v>
      </c>
    </row>
    <row r="239" spans="1:8" ht="13" x14ac:dyDescent="0.6">
      <c r="A239" s="130"/>
      <c r="B239" s="128"/>
      <c r="C239" s="128"/>
      <c r="D239" s="135"/>
      <c r="E239" s="135"/>
      <c r="F239" s="128"/>
      <c r="G239" s="136">
        <v>24480</v>
      </c>
      <c r="H239" s="128" t="s">
        <v>1484</v>
      </c>
    </row>
    <row r="240" spans="1:8" ht="26" x14ac:dyDescent="0.6">
      <c r="A240" s="125">
        <v>25658</v>
      </c>
      <c r="B240" s="126" t="s">
        <v>1604</v>
      </c>
      <c r="C240" s="126" t="s">
        <v>1485</v>
      </c>
      <c r="D240" s="134" t="s">
        <v>1261</v>
      </c>
      <c r="E240" s="44" t="s">
        <v>1255</v>
      </c>
      <c r="F240" s="126">
        <v>2</v>
      </c>
      <c r="G240" s="137">
        <v>25664</v>
      </c>
      <c r="H240" s="126" t="s">
        <v>1573</v>
      </c>
    </row>
    <row r="241" spans="1:8" ht="26" x14ac:dyDescent="0.6">
      <c r="A241" s="127">
        <v>24032</v>
      </c>
      <c r="B241" s="128" t="s">
        <v>1604</v>
      </c>
      <c r="C241" s="128" t="s">
        <v>1486</v>
      </c>
      <c r="D241" s="135" t="s">
        <v>1261</v>
      </c>
      <c r="E241" s="44" t="s">
        <v>1255</v>
      </c>
      <c r="F241" s="128"/>
      <c r="G241" s="128" t="s">
        <v>204</v>
      </c>
      <c r="H241" s="128" t="s">
        <v>204</v>
      </c>
    </row>
    <row r="242" spans="1:8" ht="26" x14ac:dyDescent="0.6">
      <c r="A242" s="125">
        <v>24617</v>
      </c>
      <c r="B242" s="126" t="s">
        <v>1604</v>
      </c>
      <c r="C242" s="126" t="s">
        <v>1487</v>
      </c>
      <c r="D242" s="134" t="s">
        <v>1272</v>
      </c>
      <c r="E242" s="44" t="s">
        <v>1266</v>
      </c>
      <c r="F242" s="126">
        <v>4</v>
      </c>
      <c r="G242" s="137">
        <v>24683</v>
      </c>
      <c r="H242" s="126" t="s">
        <v>1574</v>
      </c>
    </row>
    <row r="243" spans="1:8" ht="13" x14ac:dyDescent="0.6">
      <c r="A243" s="130"/>
      <c r="B243" s="128"/>
      <c r="C243" s="128"/>
      <c r="D243" s="135"/>
      <c r="E243" s="135"/>
      <c r="F243" s="128"/>
      <c r="G243" s="136">
        <v>24684</v>
      </c>
      <c r="H243" s="128" t="s">
        <v>1575</v>
      </c>
    </row>
    <row r="244" spans="1:8" ht="13" x14ac:dyDescent="0.6">
      <c r="A244" s="129"/>
      <c r="B244" s="126"/>
      <c r="C244" s="126"/>
      <c r="D244" s="134"/>
      <c r="E244" s="134"/>
      <c r="F244" s="126">
        <v>4</v>
      </c>
      <c r="G244" s="137">
        <v>24685</v>
      </c>
      <c r="H244" s="126" t="s">
        <v>1488</v>
      </c>
    </row>
    <row r="245" spans="1:8" ht="13" x14ac:dyDescent="0.6">
      <c r="A245" s="130"/>
      <c r="B245" s="128"/>
      <c r="C245" s="128"/>
      <c r="D245" s="135"/>
      <c r="E245" s="135"/>
      <c r="F245" s="128">
        <v>4</v>
      </c>
      <c r="G245" s="136">
        <v>24686</v>
      </c>
      <c r="H245" s="128" t="s">
        <v>1489</v>
      </c>
    </row>
    <row r="246" spans="1:8" ht="13" x14ac:dyDescent="0.6">
      <c r="A246" s="125"/>
      <c r="B246" s="126"/>
      <c r="C246" s="126"/>
      <c r="D246" s="134"/>
      <c r="E246" s="134"/>
      <c r="F246" s="126"/>
      <c r="G246" s="137">
        <v>24697</v>
      </c>
      <c r="H246" s="126" t="s">
        <v>1490</v>
      </c>
    </row>
    <row r="247" spans="1:8" ht="13" x14ac:dyDescent="0.6">
      <c r="A247" s="130">
        <v>25429</v>
      </c>
      <c r="B247" s="128" t="s">
        <v>1604</v>
      </c>
      <c r="C247" s="128" t="s">
        <v>1491</v>
      </c>
      <c r="D247" s="135" t="s">
        <v>1492</v>
      </c>
      <c r="E247" s="135" t="s">
        <v>2</v>
      </c>
      <c r="F247" s="128"/>
      <c r="G247" s="136" t="s">
        <v>204</v>
      </c>
      <c r="H247" s="128"/>
    </row>
    <row r="248" spans="1:8" ht="13" x14ac:dyDescent="0.6">
      <c r="A248" s="125">
        <v>25794</v>
      </c>
      <c r="B248" s="126" t="s">
        <v>1604</v>
      </c>
      <c r="C248" s="126" t="s">
        <v>1493</v>
      </c>
      <c r="D248" s="134" t="s">
        <v>304</v>
      </c>
      <c r="E248" s="134" t="s">
        <v>2</v>
      </c>
      <c r="F248" s="126"/>
      <c r="G248" s="126"/>
      <c r="H248" s="126" t="s">
        <v>204</v>
      </c>
    </row>
    <row r="249" spans="1:8" ht="13" x14ac:dyDescent="0.6">
      <c r="A249" s="130">
        <v>25605</v>
      </c>
      <c r="B249" s="128" t="s">
        <v>1604</v>
      </c>
      <c r="C249" s="128" t="s">
        <v>1494</v>
      </c>
      <c r="D249" s="135" t="s">
        <v>304</v>
      </c>
      <c r="E249" s="135" t="s">
        <v>2</v>
      </c>
      <c r="F249" s="128"/>
      <c r="G249" s="136" t="s">
        <v>204</v>
      </c>
      <c r="H249" s="128" t="s">
        <v>204</v>
      </c>
    </row>
    <row r="250" spans="1:8" ht="13" x14ac:dyDescent="0.6">
      <c r="A250" s="125">
        <v>25021</v>
      </c>
      <c r="B250" s="126" t="s">
        <v>1604</v>
      </c>
      <c r="C250" s="126" t="s">
        <v>1495</v>
      </c>
      <c r="D250" s="134" t="s">
        <v>304</v>
      </c>
      <c r="E250" s="134" t="s">
        <v>2</v>
      </c>
      <c r="F250" s="126"/>
      <c r="G250" s="126" t="s">
        <v>204</v>
      </c>
      <c r="H250" s="126" t="s">
        <v>204</v>
      </c>
    </row>
    <row r="251" spans="1:8" ht="13" x14ac:dyDescent="0.6">
      <c r="A251" s="130">
        <v>24284</v>
      </c>
      <c r="B251" s="128" t="s">
        <v>1604</v>
      </c>
      <c r="C251" s="128" t="s">
        <v>1496</v>
      </c>
      <c r="D251" s="135" t="s">
        <v>304</v>
      </c>
      <c r="E251" s="135" t="s">
        <v>2</v>
      </c>
      <c r="F251" s="128"/>
      <c r="G251" s="136" t="s">
        <v>204</v>
      </c>
      <c r="H251" s="128" t="s">
        <v>204</v>
      </c>
    </row>
    <row r="252" spans="1:8" ht="13" x14ac:dyDescent="0.6">
      <c r="A252" s="125">
        <v>24202</v>
      </c>
      <c r="B252" s="126" t="s">
        <v>1604</v>
      </c>
      <c r="C252" s="126" t="s">
        <v>1497</v>
      </c>
      <c r="D252" s="134" t="s">
        <v>304</v>
      </c>
      <c r="E252" s="134" t="s">
        <v>2</v>
      </c>
      <c r="F252" s="126"/>
      <c r="G252" s="126" t="s">
        <v>204</v>
      </c>
      <c r="H252" s="126" t="s">
        <v>204</v>
      </c>
    </row>
    <row r="253" spans="1:8" ht="13" x14ac:dyDescent="0.6">
      <c r="A253" s="130">
        <v>23983</v>
      </c>
      <c r="B253" s="128" t="s">
        <v>1604</v>
      </c>
      <c r="C253" s="128" t="s">
        <v>1498</v>
      </c>
      <c r="D253" s="135" t="s">
        <v>304</v>
      </c>
      <c r="E253" s="135" t="s">
        <v>2</v>
      </c>
      <c r="F253" s="128"/>
      <c r="G253" s="136" t="s">
        <v>204</v>
      </c>
      <c r="H253" s="128" t="s">
        <v>204</v>
      </c>
    </row>
    <row r="254" spans="1:8" ht="13" x14ac:dyDescent="0.6">
      <c r="A254" s="125">
        <v>23635</v>
      </c>
      <c r="B254" s="126" t="s">
        <v>1604</v>
      </c>
      <c r="C254" s="126" t="s">
        <v>1499</v>
      </c>
      <c r="D254" s="134" t="s">
        <v>304</v>
      </c>
      <c r="E254" s="134" t="s">
        <v>2</v>
      </c>
      <c r="F254" s="126"/>
      <c r="G254" s="126" t="s">
        <v>204</v>
      </c>
      <c r="H254" s="126" t="s">
        <v>204</v>
      </c>
    </row>
    <row r="255" spans="1:8" ht="13" x14ac:dyDescent="0.6">
      <c r="A255" s="130">
        <v>23618</v>
      </c>
      <c r="B255" s="128" t="s">
        <v>1604</v>
      </c>
      <c r="C255" s="128" t="s">
        <v>1500</v>
      </c>
      <c r="D255" s="135" t="s">
        <v>304</v>
      </c>
      <c r="E255" s="135" t="s">
        <v>2</v>
      </c>
      <c r="F255" s="128"/>
      <c r="G255" s="136" t="s">
        <v>204</v>
      </c>
      <c r="H255" s="128" t="s">
        <v>204</v>
      </c>
    </row>
    <row r="256" spans="1:8" ht="13" x14ac:dyDescent="0.6">
      <c r="A256" s="125">
        <v>23262</v>
      </c>
      <c r="B256" s="126" t="s">
        <v>1604</v>
      </c>
      <c r="C256" s="126" t="s">
        <v>1501</v>
      </c>
      <c r="D256" s="134" t="s">
        <v>304</v>
      </c>
      <c r="E256" s="134" t="s">
        <v>2</v>
      </c>
      <c r="F256" s="126"/>
      <c r="G256" s="126" t="s">
        <v>204</v>
      </c>
      <c r="H256" s="126" t="s">
        <v>204</v>
      </c>
    </row>
    <row r="257" spans="1:8" ht="13" x14ac:dyDescent="0.6">
      <c r="A257" s="130">
        <v>22540</v>
      </c>
      <c r="B257" s="128" t="s">
        <v>1604</v>
      </c>
      <c r="C257" s="128" t="s">
        <v>1502</v>
      </c>
      <c r="D257" s="135" t="s">
        <v>304</v>
      </c>
      <c r="E257" s="135" t="s">
        <v>2</v>
      </c>
      <c r="F257" s="128"/>
      <c r="G257" s="136" t="s">
        <v>204</v>
      </c>
      <c r="H257" s="128" t="s">
        <v>204</v>
      </c>
    </row>
    <row r="258" spans="1:8" ht="13" x14ac:dyDescent="0.6">
      <c r="A258" s="125">
        <v>22530</v>
      </c>
      <c r="B258" s="126" t="s">
        <v>1604</v>
      </c>
      <c r="C258" s="126" t="s">
        <v>1503</v>
      </c>
      <c r="D258" s="134" t="s">
        <v>304</v>
      </c>
      <c r="E258" s="134" t="s">
        <v>2</v>
      </c>
      <c r="F258" s="126"/>
      <c r="G258" s="126" t="s">
        <v>204</v>
      </c>
      <c r="H258" s="126" t="s">
        <v>204</v>
      </c>
    </row>
    <row r="259" spans="1:8" ht="26" x14ac:dyDescent="0.6">
      <c r="A259" s="130">
        <v>22504</v>
      </c>
      <c r="B259" s="128" t="s">
        <v>1604</v>
      </c>
      <c r="C259" s="128" t="s">
        <v>1504</v>
      </c>
      <c r="D259" s="135" t="s">
        <v>304</v>
      </c>
      <c r="E259" s="44" t="s">
        <v>1255</v>
      </c>
      <c r="F259" s="128"/>
      <c r="G259" s="136">
        <v>22976</v>
      </c>
      <c r="H259" s="128" t="s">
        <v>1576</v>
      </c>
    </row>
    <row r="260" spans="1:8" ht="13" x14ac:dyDescent="0.6">
      <c r="A260" s="125"/>
      <c r="B260" s="126"/>
      <c r="C260" s="126"/>
      <c r="D260" s="134"/>
      <c r="E260" s="134"/>
      <c r="F260" s="126">
        <v>1</v>
      </c>
      <c r="G260" s="137">
        <v>22977</v>
      </c>
      <c r="H260" s="126" t="s">
        <v>1505</v>
      </c>
    </row>
    <row r="261" spans="1:8" ht="13" x14ac:dyDescent="0.6">
      <c r="A261" s="130"/>
      <c r="B261" s="128"/>
      <c r="C261" s="128"/>
      <c r="D261" s="135"/>
      <c r="E261" s="135"/>
      <c r="F261" s="128">
        <v>1</v>
      </c>
      <c r="G261" s="136">
        <v>22978</v>
      </c>
      <c r="H261" s="128" t="s">
        <v>1506</v>
      </c>
    </row>
    <row r="262" spans="1:8" ht="13" x14ac:dyDescent="0.6">
      <c r="A262" s="125">
        <v>22270</v>
      </c>
      <c r="B262" s="126" t="s">
        <v>1604</v>
      </c>
      <c r="C262" s="126" t="s">
        <v>1507</v>
      </c>
      <c r="D262" s="134" t="s">
        <v>304</v>
      </c>
      <c r="E262" s="134" t="s">
        <v>2</v>
      </c>
      <c r="F262" s="126"/>
      <c r="G262" s="126" t="s">
        <v>204</v>
      </c>
      <c r="H262" s="126" t="s">
        <v>204</v>
      </c>
    </row>
    <row r="263" spans="1:8" ht="13" x14ac:dyDescent="0.6">
      <c r="A263" s="130">
        <v>18534</v>
      </c>
      <c r="B263" s="128" t="s">
        <v>1604</v>
      </c>
      <c r="C263" s="128" t="s">
        <v>1508</v>
      </c>
      <c r="D263" s="135" t="s">
        <v>304</v>
      </c>
      <c r="E263" s="135" t="s">
        <v>2</v>
      </c>
      <c r="F263" s="128"/>
      <c r="G263" s="136" t="s">
        <v>204</v>
      </c>
      <c r="H263" s="128" t="s">
        <v>204</v>
      </c>
    </row>
    <row r="264" spans="1:8" ht="13" x14ac:dyDescent="0.6">
      <c r="A264" s="125">
        <v>11058</v>
      </c>
      <c r="B264" s="126" t="s">
        <v>1605</v>
      </c>
      <c r="C264" s="126" t="s">
        <v>1509</v>
      </c>
      <c r="D264" s="134" t="s">
        <v>304</v>
      </c>
      <c r="E264" s="134" t="s">
        <v>2</v>
      </c>
      <c r="F264" s="126"/>
      <c r="G264" s="126" t="s">
        <v>204</v>
      </c>
      <c r="H264" s="126" t="s">
        <v>204</v>
      </c>
    </row>
    <row r="265" spans="1:8" ht="13" x14ac:dyDescent="0.6">
      <c r="A265" s="130">
        <v>22529</v>
      </c>
      <c r="B265" s="128" t="s">
        <v>1606</v>
      </c>
      <c r="C265" s="128" t="s">
        <v>1510</v>
      </c>
      <c r="D265" s="135" t="s">
        <v>1249</v>
      </c>
      <c r="E265" s="135" t="s">
        <v>2</v>
      </c>
      <c r="F265" s="128"/>
      <c r="G265" s="136" t="s">
        <v>204</v>
      </c>
      <c r="H265" s="128" t="s">
        <v>204</v>
      </c>
    </row>
    <row r="266" spans="1:8" ht="13" x14ac:dyDescent="0.6">
      <c r="A266" s="125">
        <v>22525</v>
      </c>
      <c r="B266" s="126" t="s">
        <v>1606</v>
      </c>
      <c r="C266" s="126" t="s">
        <v>1511</v>
      </c>
      <c r="D266" s="134" t="s">
        <v>1249</v>
      </c>
      <c r="E266" s="134" t="s">
        <v>2</v>
      </c>
      <c r="F266" s="126"/>
      <c r="G266" s="126" t="s">
        <v>204</v>
      </c>
      <c r="H266" s="126" t="s">
        <v>204</v>
      </c>
    </row>
    <row r="267" spans="1:8" ht="26" x14ac:dyDescent="0.6">
      <c r="A267" s="130">
        <v>24039</v>
      </c>
      <c r="B267" s="128" t="s">
        <v>1606</v>
      </c>
      <c r="C267" s="128" t="s">
        <v>1512</v>
      </c>
      <c r="D267" s="135" t="s">
        <v>1261</v>
      </c>
      <c r="E267" s="44" t="s">
        <v>1255</v>
      </c>
      <c r="F267" s="128">
        <v>3</v>
      </c>
      <c r="G267" s="136">
        <v>24726</v>
      </c>
      <c r="H267" s="128" t="s">
        <v>1577</v>
      </c>
    </row>
    <row r="268" spans="1:8" ht="13" x14ac:dyDescent="0.6">
      <c r="A268" s="125"/>
      <c r="B268" s="126"/>
      <c r="C268" s="126"/>
      <c r="D268" s="134"/>
      <c r="E268" s="134"/>
      <c r="F268" s="126"/>
      <c r="G268" s="137">
        <v>25670</v>
      </c>
      <c r="H268" s="126" t="s">
        <v>1786</v>
      </c>
    </row>
    <row r="269" spans="1:8" ht="13" x14ac:dyDescent="0.6">
      <c r="A269" s="130">
        <v>22527</v>
      </c>
      <c r="B269" s="128" t="s">
        <v>1606</v>
      </c>
      <c r="C269" s="128" t="s">
        <v>1513</v>
      </c>
      <c r="D269" s="135" t="s">
        <v>304</v>
      </c>
      <c r="E269" s="135" t="s">
        <v>2</v>
      </c>
      <c r="F269" s="128"/>
      <c r="G269" s="136" t="s">
        <v>204</v>
      </c>
      <c r="H269" s="128" t="s">
        <v>204</v>
      </c>
    </row>
    <row r="270" spans="1:8" ht="13" x14ac:dyDescent="0.6">
      <c r="A270" s="125">
        <v>22531</v>
      </c>
      <c r="B270" s="126" t="s">
        <v>1607</v>
      </c>
      <c r="C270" s="126" t="s">
        <v>1514</v>
      </c>
      <c r="D270" s="134" t="s">
        <v>304</v>
      </c>
      <c r="E270" s="134" t="s">
        <v>2</v>
      </c>
      <c r="F270" s="126"/>
      <c r="G270" s="126" t="s">
        <v>204</v>
      </c>
      <c r="H270" s="126" t="s">
        <v>204</v>
      </c>
    </row>
    <row r="271" spans="1:8" ht="13" x14ac:dyDescent="0.6">
      <c r="A271" s="130">
        <v>22197</v>
      </c>
      <c r="B271" s="128" t="s">
        <v>1608</v>
      </c>
      <c r="C271" s="128" t="s">
        <v>1515</v>
      </c>
      <c r="D271" s="135" t="s">
        <v>304</v>
      </c>
      <c r="E271" s="135" t="s">
        <v>2</v>
      </c>
      <c r="F271" s="128"/>
      <c r="G271" s="136" t="s">
        <v>204</v>
      </c>
      <c r="H271" s="128" t="s">
        <v>204</v>
      </c>
    </row>
    <row r="272" spans="1:8" ht="13" x14ac:dyDescent="0.6">
      <c r="A272" s="125">
        <v>20607</v>
      </c>
      <c r="B272" s="126" t="s">
        <v>1609</v>
      </c>
      <c r="C272" s="126" t="s">
        <v>1516</v>
      </c>
      <c r="D272" s="134" t="s">
        <v>304</v>
      </c>
      <c r="E272" s="134" t="s">
        <v>2</v>
      </c>
      <c r="F272" s="126"/>
      <c r="G272" s="126" t="s">
        <v>204</v>
      </c>
      <c r="H272" s="126" t="s">
        <v>204</v>
      </c>
    </row>
    <row r="273" spans="1:8" ht="13" x14ac:dyDescent="0.6">
      <c r="A273" s="130">
        <v>19321</v>
      </c>
      <c r="B273" s="128" t="s">
        <v>1609</v>
      </c>
      <c r="C273" s="128" t="s">
        <v>906</v>
      </c>
      <c r="D273" s="135" t="s">
        <v>304</v>
      </c>
      <c r="E273" s="135" t="s">
        <v>2</v>
      </c>
      <c r="F273" s="128"/>
      <c r="G273" s="136" t="s">
        <v>204</v>
      </c>
      <c r="H273" s="128" t="s">
        <v>204</v>
      </c>
    </row>
    <row r="274" spans="1:8" ht="13" x14ac:dyDescent="0.6">
      <c r="A274" s="125">
        <v>17710</v>
      </c>
      <c r="B274" s="126" t="s">
        <v>1609</v>
      </c>
      <c r="C274" s="126" t="s">
        <v>1517</v>
      </c>
      <c r="D274" s="134" t="s">
        <v>304</v>
      </c>
      <c r="E274" s="134" t="s">
        <v>2</v>
      </c>
      <c r="F274" s="126"/>
      <c r="G274" s="126" t="s">
        <v>204</v>
      </c>
      <c r="H274" s="126" t="s">
        <v>204</v>
      </c>
    </row>
    <row r="275" spans="1:8" ht="13" x14ac:dyDescent="0.6">
      <c r="A275" s="130">
        <v>17251</v>
      </c>
      <c r="B275" s="128" t="s">
        <v>1609</v>
      </c>
      <c r="C275" s="128" t="s">
        <v>1518</v>
      </c>
      <c r="D275" s="135" t="s">
        <v>304</v>
      </c>
      <c r="E275" s="135" t="s">
        <v>2</v>
      </c>
      <c r="F275" s="128"/>
      <c r="G275" s="136" t="s">
        <v>204</v>
      </c>
      <c r="H275" s="128" t="s">
        <v>204</v>
      </c>
    </row>
    <row r="276" spans="1:8" ht="13" x14ac:dyDescent="0.6">
      <c r="A276" s="125">
        <v>17250</v>
      </c>
      <c r="B276" s="126" t="s">
        <v>1609</v>
      </c>
      <c r="C276" s="126" t="s">
        <v>1519</v>
      </c>
      <c r="D276" s="134" t="s">
        <v>304</v>
      </c>
      <c r="E276" s="134" t="s">
        <v>2</v>
      </c>
      <c r="F276" s="126"/>
      <c r="G276" s="126" t="s">
        <v>204</v>
      </c>
      <c r="H276" s="126" t="s">
        <v>204</v>
      </c>
    </row>
    <row r="277" spans="1:8" ht="13" x14ac:dyDescent="0.6">
      <c r="A277" s="130">
        <v>17162</v>
      </c>
      <c r="B277" s="128" t="s">
        <v>1609</v>
      </c>
      <c r="C277" s="128" t="s">
        <v>1520</v>
      </c>
      <c r="D277" s="135" t="s">
        <v>304</v>
      </c>
      <c r="E277" s="135" t="s">
        <v>2</v>
      </c>
      <c r="F277" s="128"/>
      <c r="G277" s="136" t="s">
        <v>204</v>
      </c>
      <c r="H277" s="128"/>
    </row>
    <row r="278" spans="1:8" ht="13" x14ac:dyDescent="0.6">
      <c r="A278" s="125">
        <v>17027</v>
      </c>
      <c r="B278" s="126" t="s">
        <v>1609</v>
      </c>
      <c r="C278" s="126" t="s">
        <v>1521</v>
      </c>
      <c r="D278" s="134" t="s">
        <v>304</v>
      </c>
      <c r="E278" s="134" t="s">
        <v>2</v>
      </c>
      <c r="F278" s="126"/>
      <c r="G278" s="126" t="s">
        <v>204</v>
      </c>
      <c r="H278" s="126" t="s">
        <v>204</v>
      </c>
    </row>
    <row r="279" spans="1:8" ht="13" x14ac:dyDescent="0.6">
      <c r="A279" s="130">
        <v>17049</v>
      </c>
      <c r="B279" s="128" t="s">
        <v>1610</v>
      </c>
      <c r="C279" s="128" t="s">
        <v>1522</v>
      </c>
      <c r="D279" s="135" t="s">
        <v>304</v>
      </c>
      <c r="E279" s="135" t="s">
        <v>2</v>
      </c>
      <c r="F279" s="128"/>
      <c r="G279" s="136" t="s">
        <v>204</v>
      </c>
      <c r="H279" s="128" t="s">
        <v>204</v>
      </c>
    </row>
    <row r="280" spans="1:8" ht="13" x14ac:dyDescent="0.6">
      <c r="A280" s="125">
        <v>16886</v>
      </c>
      <c r="B280" s="126" t="s">
        <v>1610</v>
      </c>
      <c r="C280" s="126" t="s">
        <v>1523</v>
      </c>
      <c r="D280" s="134" t="s">
        <v>304</v>
      </c>
      <c r="E280" s="134" t="s">
        <v>2</v>
      </c>
      <c r="F280" s="126"/>
      <c r="G280" s="137" t="s">
        <v>204</v>
      </c>
      <c r="H280" s="126" t="s">
        <v>204</v>
      </c>
    </row>
    <row r="281" spans="1:8" ht="13" x14ac:dyDescent="0.6">
      <c r="A281" s="120"/>
      <c r="B281" s="121"/>
      <c r="C281" s="121"/>
      <c r="D281" s="121"/>
      <c r="E281" s="120"/>
      <c r="F281" s="120"/>
      <c r="G281" s="121"/>
      <c r="H281" s="132"/>
    </row>
    <row r="282" spans="1:8" ht="13" x14ac:dyDescent="0.6">
      <c r="A282" s="120"/>
      <c r="B282" s="121"/>
      <c r="C282" s="121"/>
      <c r="D282" s="121"/>
      <c r="E282" s="120"/>
      <c r="F282" s="120"/>
      <c r="G282" s="121"/>
      <c r="H282" s="132"/>
    </row>
    <row r="283" spans="1:8" ht="13" x14ac:dyDescent="0.6">
      <c r="A283" s="120"/>
      <c r="B283" s="121"/>
      <c r="C283" s="121"/>
      <c r="D283" s="121"/>
      <c r="E283" s="120"/>
      <c r="F283" s="120"/>
      <c r="G283" s="121"/>
      <c r="H283" s="132"/>
    </row>
    <row r="284" spans="1:8" ht="13" x14ac:dyDescent="0.6">
      <c r="A284" s="120"/>
      <c r="B284" s="121"/>
      <c r="C284" s="121"/>
      <c r="D284" s="121"/>
      <c r="E284" s="120"/>
      <c r="F284" s="120"/>
      <c r="G284" s="121"/>
      <c r="H284" s="132"/>
    </row>
    <row r="285" spans="1:8" ht="13" x14ac:dyDescent="0.6">
      <c r="A285" s="120"/>
      <c r="B285" s="121"/>
      <c r="C285" s="121"/>
      <c r="D285" s="121"/>
      <c r="E285" s="120"/>
      <c r="F285" s="120"/>
      <c r="G285" s="121"/>
      <c r="H285" s="132"/>
    </row>
    <row r="286" spans="1:8" ht="13" x14ac:dyDescent="0.6">
      <c r="A286" s="120"/>
      <c r="B286" s="121"/>
      <c r="C286" s="121"/>
      <c r="D286" s="121"/>
      <c r="E286" s="120"/>
      <c r="F286" s="120"/>
      <c r="G286" s="121"/>
      <c r="H286" s="132"/>
    </row>
    <row r="287" spans="1:8" ht="13" x14ac:dyDescent="0.6">
      <c r="A287" s="120"/>
      <c r="B287" s="121"/>
      <c r="C287" s="121"/>
      <c r="D287" s="121"/>
      <c r="E287" s="120"/>
      <c r="F287" s="120"/>
      <c r="G287" s="121"/>
      <c r="H287" s="132"/>
    </row>
    <row r="288" spans="1:8" ht="13" x14ac:dyDescent="0.6">
      <c r="A288" s="120"/>
      <c r="B288" s="121"/>
      <c r="C288" s="121"/>
      <c r="D288" s="121"/>
      <c r="E288" s="120"/>
      <c r="F288" s="120"/>
      <c r="G288" s="121"/>
      <c r="H288" s="132"/>
    </row>
    <row r="289" spans="1:8" ht="13" x14ac:dyDescent="0.6">
      <c r="A289" s="120"/>
      <c r="B289" s="121"/>
      <c r="C289" s="121"/>
      <c r="D289" s="121"/>
      <c r="E289" s="120"/>
      <c r="F289" s="120"/>
      <c r="G289" s="121"/>
      <c r="H289" s="132"/>
    </row>
    <row r="290" spans="1:8" ht="13" x14ac:dyDescent="0.6">
      <c r="A290" s="120"/>
      <c r="B290" s="121"/>
      <c r="C290" s="121"/>
      <c r="D290" s="121"/>
      <c r="E290" s="120"/>
      <c r="F290" s="120"/>
      <c r="G290" s="121"/>
      <c r="H290" s="132"/>
    </row>
    <row r="291" spans="1:8" ht="13" x14ac:dyDescent="0.6">
      <c r="A291" s="120"/>
      <c r="B291" s="121"/>
      <c r="C291" s="121"/>
      <c r="D291" s="121"/>
      <c r="E291" s="120"/>
      <c r="F291" s="120"/>
      <c r="G291" s="121"/>
      <c r="H291" s="132"/>
    </row>
    <row r="292" spans="1:8" ht="13" x14ac:dyDescent="0.6">
      <c r="A292" s="120"/>
      <c r="B292" s="121"/>
      <c r="C292" s="121"/>
      <c r="D292" s="121"/>
      <c r="E292" s="120"/>
      <c r="F292" s="120"/>
      <c r="G292" s="121"/>
      <c r="H292" s="132"/>
    </row>
    <row r="293" spans="1:8" ht="13" x14ac:dyDescent="0.6">
      <c r="A293" s="120"/>
      <c r="B293" s="121"/>
      <c r="C293" s="121"/>
      <c r="D293" s="121"/>
      <c r="E293" s="120"/>
      <c r="F293" s="120"/>
      <c r="G293" s="121"/>
      <c r="H293" s="132"/>
    </row>
    <row r="294" spans="1:8" ht="13" x14ac:dyDescent="0.6">
      <c r="A294" s="120"/>
      <c r="B294" s="121"/>
      <c r="C294" s="121"/>
      <c r="D294" s="121"/>
      <c r="E294" s="120"/>
      <c r="F294" s="120"/>
      <c r="G294" s="121"/>
      <c r="H294" s="132"/>
    </row>
    <row r="295" spans="1:8" ht="13" x14ac:dyDescent="0.6">
      <c r="A295" s="120"/>
      <c r="B295" s="121"/>
      <c r="C295" s="121"/>
      <c r="D295" s="121"/>
      <c r="E295" s="120"/>
      <c r="F295" s="120"/>
      <c r="G295" s="121"/>
      <c r="H295" s="132"/>
    </row>
    <row r="296" spans="1:8" ht="13" x14ac:dyDescent="0.6">
      <c r="A296" s="120"/>
      <c r="B296" s="120"/>
      <c r="C296" s="121"/>
      <c r="D296" s="121"/>
      <c r="E296" s="121"/>
      <c r="F296" s="120"/>
      <c r="G296" s="121"/>
      <c r="H296" s="133"/>
    </row>
    <row r="297" spans="1:8" ht="13" x14ac:dyDescent="0.6">
      <c r="A297" s="120"/>
      <c r="B297" s="120"/>
      <c r="C297" s="121"/>
      <c r="D297" s="121"/>
      <c r="E297" s="121"/>
      <c r="F297" s="120"/>
      <c r="G297" s="121"/>
      <c r="H297" s="133"/>
    </row>
    <row r="298" spans="1:8" ht="13" x14ac:dyDescent="0.6">
      <c r="A298" s="120"/>
      <c r="B298" s="120"/>
      <c r="C298" s="121"/>
      <c r="D298" s="121"/>
      <c r="E298" s="121"/>
      <c r="F298" s="120"/>
      <c r="G298" s="121"/>
      <c r="H298" s="133"/>
    </row>
    <row r="299" spans="1:8" ht="13" x14ac:dyDescent="0.6">
      <c r="A299" s="120"/>
      <c r="B299" s="120"/>
      <c r="C299" s="121"/>
      <c r="D299" s="121"/>
      <c r="E299" s="121"/>
      <c r="F299" s="120"/>
      <c r="G299" s="121"/>
      <c r="H299" s="133"/>
    </row>
    <row r="300" spans="1:8" ht="13" x14ac:dyDescent="0.6">
      <c r="A300" s="120"/>
      <c r="B300" s="120"/>
      <c r="C300" s="121"/>
      <c r="D300" s="121"/>
      <c r="E300" s="121"/>
      <c r="F300" s="120"/>
      <c r="G300" s="121"/>
      <c r="H300" s="133"/>
    </row>
    <row r="301" spans="1:8" ht="13" x14ac:dyDescent="0.6">
      <c r="A301" s="120"/>
      <c r="B301" s="120"/>
      <c r="C301" s="121"/>
      <c r="D301" s="121"/>
      <c r="E301" s="121"/>
      <c r="F301" s="120"/>
      <c r="G301" s="121"/>
      <c r="H301" s="133"/>
    </row>
    <row r="302" spans="1:8" ht="13" x14ac:dyDescent="0.6">
      <c r="A302" s="120"/>
      <c r="B302" s="120"/>
      <c r="C302" s="121"/>
      <c r="D302" s="121"/>
      <c r="E302" s="121"/>
      <c r="F302" s="120"/>
      <c r="G302" s="121"/>
      <c r="H302" s="133"/>
    </row>
    <row r="303" spans="1:8" ht="13" x14ac:dyDescent="0.6">
      <c r="A303" s="120"/>
      <c r="B303" s="120"/>
      <c r="C303" s="121"/>
      <c r="D303" s="121"/>
      <c r="E303" s="121"/>
      <c r="F303" s="120"/>
      <c r="G303" s="121"/>
      <c r="H303" s="133"/>
    </row>
    <row r="304" spans="1:8" ht="13" x14ac:dyDescent="0.6">
      <c r="A304" s="120"/>
      <c r="B304" s="120"/>
      <c r="C304" s="121"/>
      <c r="D304" s="121"/>
      <c r="E304" s="121"/>
      <c r="F304" s="120"/>
      <c r="G304" s="121"/>
      <c r="H304" s="133"/>
    </row>
    <row r="305" spans="1:8" ht="13" x14ac:dyDescent="0.6">
      <c r="A305" s="120"/>
      <c r="B305" s="120"/>
      <c r="C305" s="121"/>
      <c r="D305" s="121"/>
      <c r="E305" s="121"/>
      <c r="F305" s="120"/>
      <c r="G305" s="121"/>
      <c r="H305" s="133"/>
    </row>
    <row r="306" spans="1:8" ht="13" x14ac:dyDescent="0.6">
      <c r="A306" s="120"/>
      <c r="B306" s="120"/>
      <c r="C306" s="121"/>
      <c r="D306" s="121"/>
      <c r="E306" s="121"/>
      <c r="F306" s="120"/>
      <c r="G306" s="121"/>
      <c r="H306" s="133"/>
    </row>
    <row r="307" spans="1:8" ht="13" x14ac:dyDescent="0.6">
      <c r="A307" s="120"/>
      <c r="B307" s="120"/>
      <c r="C307" s="121"/>
      <c r="D307" s="121"/>
      <c r="E307" s="121"/>
      <c r="F307" s="120"/>
      <c r="G307" s="121"/>
      <c r="H307" s="133"/>
    </row>
    <row r="308" spans="1:8" ht="13" x14ac:dyDescent="0.6">
      <c r="A308" s="120"/>
      <c r="B308" s="120"/>
      <c r="C308" s="121"/>
      <c r="D308" s="121"/>
      <c r="E308" s="121"/>
      <c r="F308" s="120"/>
      <c r="G308" s="121"/>
      <c r="H308" s="133"/>
    </row>
    <row r="309" spans="1:8" ht="13" x14ac:dyDescent="0.6">
      <c r="A309" s="120"/>
      <c r="B309" s="120"/>
      <c r="C309" s="121"/>
      <c r="D309" s="121"/>
      <c r="E309" s="121"/>
      <c r="F309" s="120"/>
      <c r="G309" s="121"/>
      <c r="H309" s="133"/>
    </row>
    <row r="310" spans="1:8" ht="13" x14ac:dyDescent="0.6">
      <c r="A310" s="120"/>
      <c r="B310" s="120"/>
      <c r="C310" s="121"/>
      <c r="D310" s="121"/>
      <c r="E310" s="121"/>
      <c r="F310" s="120"/>
      <c r="G310" s="121"/>
      <c r="H310" s="133"/>
    </row>
    <row r="311" spans="1:8" ht="13" x14ac:dyDescent="0.6">
      <c r="A311" s="120"/>
      <c r="B311" s="120"/>
      <c r="C311" s="121"/>
      <c r="D311" s="121"/>
      <c r="E311" s="121"/>
      <c r="F311" s="120"/>
      <c r="G311" s="121"/>
      <c r="H311" s="133"/>
    </row>
    <row r="312" spans="1:8" ht="13" x14ac:dyDescent="0.6">
      <c r="A312" s="120"/>
      <c r="B312" s="120"/>
      <c r="C312" s="121"/>
      <c r="D312" s="121"/>
      <c r="E312" s="121"/>
      <c r="F312" s="120"/>
      <c r="G312" s="121"/>
      <c r="H312" s="133"/>
    </row>
    <row r="313" spans="1:8" ht="13" x14ac:dyDescent="0.6">
      <c r="A313" s="120"/>
      <c r="B313" s="120"/>
      <c r="C313" s="121"/>
      <c r="D313" s="121"/>
      <c r="E313" s="121"/>
      <c r="F313" s="120"/>
      <c r="G313" s="121"/>
      <c r="H313" s="133"/>
    </row>
    <row r="314" spans="1:8" ht="13" x14ac:dyDescent="0.6">
      <c r="A314" s="120"/>
      <c r="B314" s="120"/>
      <c r="C314" s="121"/>
      <c r="D314" s="121"/>
      <c r="E314" s="121"/>
      <c r="F314" s="120"/>
      <c r="G314" s="121"/>
      <c r="H314" s="133"/>
    </row>
    <row r="315" spans="1:8" ht="13" x14ac:dyDescent="0.6">
      <c r="A315" s="120"/>
      <c r="B315" s="120"/>
      <c r="C315" s="121"/>
      <c r="D315" s="121"/>
      <c r="E315" s="121"/>
      <c r="F315" s="120"/>
      <c r="G315" s="121"/>
      <c r="H315" s="133"/>
    </row>
    <row r="316" spans="1:8" ht="13" x14ac:dyDescent="0.6">
      <c r="A316" s="120"/>
      <c r="B316" s="120"/>
      <c r="C316" s="121"/>
      <c r="D316" s="121"/>
      <c r="E316" s="121"/>
      <c r="F316" s="120"/>
      <c r="G316" s="121"/>
      <c r="H316" s="133"/>
    </row>
    <row r="317" spans="1:8" ht="13" x14ac:dyDescent="0.6">
      <c r="A317" s="120"/>
      <c r="B317" s="120"/>
      <c r="C317" s="121"/>
      <c r="D317" s="121"/>
      <c r="E317" s="121"/>
      <c r="F317" s="120"/>
      <c r="G317" s="121"/>
      <c r="H317" s="133"/>
    </row>
    <row r="318" spans="1:8" ht="13" x14ac:dyDescent="0.6">
      <c r="A318" s="120"/>
      <c r="B318" s="120"/>
      <c r="C318" s="121"/>
      <c r="D318" s="121"/>
      <c r="E318" s="121"/>
      <c r="F318" s="120"/>
      <c r="G318" s="121"/>
      <c r="H318" s="133"/>
    </row>
    <row r="319" spans="1:8" ht="13" x14ac:dyDescent="0.6">
      <c r="A319" s="120"/>
      <c r="B319" s="120"/>
      <c r="C319" s="121"/>
      <c r="D319" s="121"/>
      <c r="E319" s="121"/>
      <c r="F319" s="120"/>
      <c r="G319" s="121"/>
      <c r="H319" s="133"/>
    </row>
    <row r="320" spans="1:8" ht="13" x14ac:dyDescent="0.6">
      <c r="A320" s="120"/>
      <c r="B320" s="120"/>
      <c r="C320" s="121"/>
      <c r="D320" s="121"/>
      <c r="E320" s="121"/>
      <c r="F320" s="120"/>
      <c r="G320" s="121"/>
      <c r="H320" s="133"/>
    </row>
    <row r="321" spans="1:8" ht="13" x14ac:dyDescent="0.6">
      <c r="A321" s="120"/>
      <c r="B321" s="120"/>
      <c r="C321" s="121"/>
      <c r="D321" s="121"/>
      <c r="E321" s="121"/>
      <c r="F321" s="120"/>
      <c r="G321" s="121"/>
      <c r="H321" s="133"/>
    </row>
    <row r="322" spans="1:8" ht="13" x14ac:dyDescent="0.6">
      <c r="A322" s="120"/>
      <c r="B322" s="120"/>
      <c r="C322" s="121"/>
      <c r="D322" s="121"/>
      <c r="E322" s="121"/>
      <c r="F322" s="120"/>
      <c r="G322" s="121"/>
      <c r="H322" s="133"/>
    </row>
    <row r="323" spans="1:8" ht="13" x14ac:dyDescent="0.6">
      <c r="A323" s="120"/>
      <c r="B323" s="120"/>
      <c r="C323" s="121"/>
      <c r="D323" s="121"/>
      <c r="E323" s="121"/>
      <c r="F323" s="120"/>
      <c r="G323" s="121"/>
      <c r="H323" s="133"/>
    </row>
    <row r="324" spans="1:8" ht="13" x14ac:dyDescent="0.6">
      <c r="A324" s="120"/>
      <c r="B324" s="120"/>
      <c r="C324" s="121"/>
      <c r="D324" s="121"/>
      <c r="E324" s="121"/>
      <c r="F324" s="120"/>
      <c r="G324" s="121"/>
      <c r="H324" s="133"/>
    </row>
    <row r="325" spans="1:8" ht="13" x14ac:dyDescent="0.6">
      <c r="A325" s="120"/>
      <c r="B325" s="120"/>
      <c r="C325" s="121"/>
      <c r="D325" s="121"/>
      <c r="E325" s="121"/>
      <c r="F325" s="120"/>
      <c r="G325" s="121"/>
      <c r="H325" s="133"/>
    </row>
    <row r="326" spans="1:8" ht="13" x14ac:dyDescent="0.6">
      <c r="A326" s="120"/>
      <c r="B326" s="120"/>
      <c r="C326" s="121"/>
      <c r="D326" s="121"/>
      <c r="E326" s="121"/>
      <c r="F326" s="120"/>
      <c r="G326" s="121"/>
      <c r="H326" s="133"/>
    </row>
    <row r="327" spans="1:8" ht="13" x14ac:dyDescent="0.6">
      <c r="A327" s="120"/>
      <c r="B327" s="120"/>
      <c r="C327" s="121"/>
      <c r="D327" s="121"/>
      <c r="E327" s="121"/>
      <c r="F327" s="120"/>
      <c r="G327" s="121"/>
      <c r="H327" s="133"/>
    </row>
    <row r="328" spans="1:8" ht="13" x14ac:dyDescent="0.6">
      <c r="A328" s="120"/>
      <c r="B328" s="120"/>
      <c r="C328" s="121"/>
      <c r="D328" s="121"/>
      <c r="E328" s="121"/>
      <c r="F328" s="120"/>
      <c r="G328" s="121"/>
      <c r="H328" s="133"/>
    </row>
    <row r="329" spans="1:8" ht="13" x14ac:dyDescent="0.6">
      <c r="A329" s="120"/>
      <c r="B329" s="120"/>
      <c r="C329" s="121"/>
      <c r="D329" s="121"/>
      <c r="E329" s="121"/>
      <c r="F329" s="120"/>
      <c r="G329" s="121"/>
      <c r="H329" s="133"/>
    </row>
    <row r="330" spans="1:8" ht="13" x14ac:dyDescent="0.6">
      <c r="A330" s="120"/>
      <c r="B330" s="120"/>
      <c r="C330" s="121"/>
      <c r="D330" s="121"/>
      <c r="E330" s="121"/>
      <c r="F330" s="120"/>
      <c r="G330" s="121"/>
      <c r="H330" s="133"/>
    </row>
    <row r="331" spans="1:8" ht="13" x14ac:dyDescent="0.6">
      <c r="A331" s="120"/>
      <c r="B331" s="120"/>
      <c r="C331" s="121"/>
      <c r="D331" s="121"/>
      <c r="E331" s="121"/>
      <c r="F331" s="120"/>
      <c r="G331" s="121"/>
      <c r="H331" s="133"/>
    </row>
    <row r="332" spans="1:8" ht="13" x14ac:dyDescent="0.6">
      <c r="A332" s="120"/>
      <c r="B332" s="120"/>
      <c r="C332" s="121"/>
      <c r="D332" s="121"/>
      <c r="E332" s="121"/>
      <c r="F332" s="120"/>
      <c r="G332" s="121"/>
      <c r="H332" s="133"/>
    </row>
    <row r="333" spans="1:8" ht="13" x14ac:dyDescent="0.6">
      <c r="A333" s="120"/>
      <c r="B333" s="120"/>
      <c r="C333" s="121"/>
      <c r="D333" s="121"/>
      <c r="E333" s="121"/>
      <c r="F333" s="120"/>
      <c r="G333" s="121"/>
      <c r="H333" s="133"/>
    </row>
    <row r="334" spans="1:8" ht="13" x14ac:dyDescent="0.6">
      <c r="A334" s="120"/>
      <c r="B334" s="120"/>
      <c r="C334" s="121"/>
      <c r="D334" s="121"/>
      <c r="E334" s="121"/>
      <c r="F334" s="120"/>
      <c r="G334" s="121"/>
      <c r="H334" s="133"/>
    </row>
    <row r="335" spans="1:8" ht="13" x14ac:dyDescent="0.6">
      <c r="A335" s="120"/>
      <c r="B335" s="120"/>
      <c r="C335" s="121"/>
      <c r="D335" s="121"/>
      <c r="E335" s="121"/>
      <c r="F335" s="120"/>
      <c r="G335" s="121"/>
      <c r="H335" s="133"/>
    </row>
    <row r="336" spans="1:8" ht="13" x14ac:dyDescent="0.6">
      <c r="A336" s="120"/>
      <c r="B336" s="120"/>
      <c r="C336" s="121"/>
      <c r="D336" s="121"/>
      <c r="E336" s="121"/>
      <c r="F336" s="120"/>
      <c r="G336" s="121"/>
      <c r="H336" s="133"/>
    </row>
    <row r="337" spans="1:8" ht="13" x14ac:dyDescent="0.6">
      <c r="A337" s="120"/>
      <c r="B337" s="120"/>
      <c r="C337" s="121"/>
      <c r="D337" s="121"/>
      <c r="E337" s="121"/>
      <c r="F337" s="120"/>
      <c r="G337" s="121"/>
      <c r="H337" s="133"/>
    </row>
    <row r="338" spans="1:8" ht="13" x14ac:dyDescent="0.6">
      <c r="A338" s="120"/>
      <c r="B338" s="120"/>
      <c r="C338" s="121"/>
      <c r="D338" s="121"/>
      <c r="E338" s="121"/>
      <c r="F338" s="120"/>
      <c r="G338" s="121"/>
      <c r="H338" s="133"/>
    </row>
    <row r="339" spans="1:8" ht="13" x14ac:dyDescent="0.6">
      <c r="A339" s="120"/>
      <c r="B339" s="120"/>
      <c r="C339" s="121"/>
      <c r="D339" s="121"/>
      <c r="E339" s="121"/>
      <c r="F339" s="120"/>
      <c r="G339" s="121"/>
      <c r="H339" s="133"/>
    </row>
    <row r="340" spans="1:8" ht="13" x14ac:dyDescent="0.6">
      <c r="A340" s="120"/>
      <c r="B340" s="120"/>
      <c r="C340" s="121"/>
      <c r="D340" s="121"/>
      <c r="E340" s="121"/>
      <c r="F340" s="120"/>
      <c r="G340" s="121"/>
      <c r="H340" s="133"/>
    </row>
    <row r="341" spans="1:8" ht="13" x14ac:dyDescent="0.6">
      <c r="A341" s="120"/>
      <c r="B341" s="120"/>
      <c r="C341" s="121"/>
      <c r="D341" s="121"/>
      <c r="E341" s="121"/>
      <c r="F341" s="120"/>
      <c r="G341" s="121"/>
      <c r="H341" s="133"/>
    </row>
    <row r="342" spans="1:8" ht="13" x14ac:dyDescent="0.6">
      <c r="A342" s="120"/>
      <c r="B342" s="120"/>
      <c r="C342" s="121"/>
      <c r="D342" s="121"/>
      <c r="E342" s="121"/>
      <c r="F342" s="120"/>
      <c r="G342" s="121"/>
      <c r="H342" s="133"/>
    </row>
    <row r="343" spans="1:8" ht="13" x14ac:dyDescent="0.6">
      <c r="A343" s="120"/>
      <c r="B343" s="120"/>
      <c r="C343" s="121"/>
      <c r="D343" s="121"/>
      <c r="E343" s="121"/>
      <c r="F343" s="120"/>
      <c r="G343" s="121"/>
      <c r="H343" s="133"/>
    </row>
    <row r="344" spans="1:8" ht="13" x14ac:dyDescent="0.6">
      <c r="A344" s="120"/>
      <c r="B344" s="120"/>
      <c r="C344" s="121"/>
      <c r="D344" s="121"/>
      <c r="E344" s="121"/>
      <c r="F344" s="120"/>
      <c r="G344" s="121"/>
      <c r="H344" s="133"/>
    </row>
    <row r="345" spans="1:8" ht="13" x14ac:dyDescent="0.6">
      <c r="A345" s="120"/>
      <c r="B345" s="120"/>
      <c r="C345" s="121"/>
      <c r="D345" s="121"/>
      <c r="E345" s="121"/>
      <c r="F345" s="120"/>
      <c r="G345" s="121"/>
      <c r="H345" s="133"/>
    </row>
    <row r="346" spans="1:8" ht="13" x14ac:dyDescent="0.6">
      <c r="A346" s="120"/>
      <c r="B346" s="120"/>
      <c r="C346" s="121"/>
      <c r="D346" s="121"/>
      <c r="E346" s="121"/>
      <c r="F346" s="120"/>
      <c r="G346" s="121"/>
      <c r="H346" s="133"/>
    </row>
    <row r="347" spans="1:8" ht="13" x14ac:dyDescent="0.6">
      <c r="A347" s="120"/>
      <c r="B347" s="120"/>
      <c r="C347" s="121"/>
      <c r="D347" s="121"/>
      <c r="E347" s="121"/>
      <c r="F347" s="120"/>
      <c r="G347" s="121"/>
      <c r="H347" s="133"/>
    </row>
    <row r="348" spans="1:8" ht="13" x14ac:dyDescent="0.6">
      <c r="A348" s="120"/>
      <c r="B348" s="120"/>
      <c r="C348" s="121"/>
      <c r="D348" s="121"/>
      <c r="E348" s="121"/>
      <c r="F348" s="120"/>
      <c r="G348" s="121"/>
      <c r="H348" s="133"/>
    </row>
    <row r="349" spans="1:8" ht="13" x14ac:dyDescent="0.6">
      <c r="A349" s="120"/>
      <c r="B349" s="120"/>
      <c r="C349" s="121"/>
      <c r="D349" s="121"/>
      <c r="E349" s="121"/>
      <c r="F349" s="120"/>
      <c r="G349" s="121"/>
      <c r="H349" s="133"/>
    </row>
    <row r="350" spans="1:8" ht="13" x14ac:dyDescent="0.6">
      <c r="A350" s="120"/>
      <c r="B350" s="120"/>
      <c r="C350" s="121"/>
      <c r="D350" s="121"/>
      <c r="E350" s="121"/>
      <c r="F350" s="120"/>
      <c r="G350" s="121"/>
      <c r="H350" s="133"/>
    </row>
    <row r="351" spans="1:8" ht="13" x14ac:dyDescent="0.6">
      <c r="A351" s="120"/>
      <c r="B351" s="120"/>
      <c r="C351" s="121"/>
      <c r="D351" s="121"/>
      <c r="E351" s="121"/>
      <c r="F351" s="120"/>
      <c r="G351" s="121"/>
      <c r="H351" s="133"/>
    </row>
    <row r="352" spans="1:8" ht="13" x14ac:dyDescent="0.6">
      <c r="A352" s="120"/>
      <c r="B352" s="120"/>
      <c r="C352" s="121"/>
      <c r="D352" s="121"/>
      <c r="E352" s="121"/>
      <c r="F352" s="120"/>
      <c r="G352" s="121"/>
      <c r="H352" s="133"/>
    </row>
    <row r="353" spans="1:8" ht="13" x14ac:dyDescent="0.6">
      <c r="A353" s="120"/>
      <c r="B353" s="120"/>
      <c r="C353" s="121"/>
      <c r="D353" s="121"/>
      <c r="E353" s="121"/>
      <c r="F353" s="120"/>
      <c r="G353" s="121"/>
      <c r="H353" s="133"/>
    </row>
    <row r="354" spans="1:8" ht="13" x14ac:dyDescent="0.6">
      <c r="A354" s="120"/>
      <c r="B354" s="120"/>
      <c r="C354" s="121"/>
      <c r="D354" s="121"/>
      <c r="E354" s="121"/>
      <c r="F354" s="120"/>
      <c r="G354" s="121"/>
      <c r="H354" s="133"/>
    </row>
    <row r="355" spans="1:8" ht="13" x14ac:dyDescent="0.6">
      <c r="A355" s="120"/>
      <c r="B355" s="120"/>
      <c r="C355" s="121"/>
      <c r="D355" s="121"/>
      <c r="E355" s="121"/>
      <c r="F355" s="120"/>
      <c r="G355" s="121"/>
      <c r="H355" s="133"/>
    </row>
    <row r="356" spans="1:8" ht="13" x14ac:dyDescent="0.6">
      <c r="A356" s="120"/>
      <c r="B356" s="120"/>
      <c r="C356" s="121"/>
      <c r="D356" s="121"/>
      <c r="E356" s="121"/>
      <c r="F356" s="120"/>
      <c r="G356" s="121"/>
      <c r="H356" s="133"/>
    </row>
    <row r="357" spans="1:8" ht="13" x14ac:dyDescent="0.6">
      <c r="A357" s="120"/>
      <c r="B357" s="120"/>
      <c r="C357" s="121"/>
      <c r="D357" s="121"/>
      <c r="E357" s="121"/>
      <c r="F357" s="120"/>
      <c r="G357" s="121"/>
      <c r="H357" s="133"/>
    </row>
    <row r="358" spans="1:8" ht="13" x14ac:dyDescent="0.6">
      <c r="A358" s="120"/>
      <c r="B358" s="120"/>
      <c r="C358" s="121"/>
      <c r="D358" s="121"/>
      <c r="E358" s="121"/>
      <c r="F358" s="120"/>
      <c r="G358" s="121"/>
      <c r="H358" s="133"/>
    </row>
    <row r="359" spans="1:8" ht="13" x14ac:dyDescent="0.6">
      <c r="A359" s="120"/>
      <c r="B359" s="120"/>
      <c r="C359" s="121"/>
      <c r="D359" s="121"/>
      <c r="E359" s="121"/>
      <c r="F359" s="120"/>
      <c r="G359" s="121"/>
      <c r="H359" s="133"/>
    </row>
    <row r="360" spans="1:8" ht="13" x14ac:dyDescent="0.6">
      <c r="A360" s="120"/>
      <c r="B360" s="120"/>
      <c r="C360" s="121"/>
      <c r="D360" s="121"/>
      <c r="E360" s="121"/>
      <c r="F360" s="120"/>
      <c r="G360" s="121"/>
      <c r="H360" s="133"/>
    </row>
    <row r="361" spans="1:8" ht="13" x14ac:dyDescent="0.6">
      <c r="A361" s="120"/>
      <c r="B361" s="120"/>
      <c r="C361" s="121"/>
      <c r="D361" s="121"/>
      <c r="E361" s="121"/>
      <c r="F361" s="120"/>
      <c r="G361" s="121"/>
      <c r="H361" s="133"/>
    </row>
    <row r="362" spans="1:8" ht="13" x14ac:dyDescent="0.6">
      <c r="A362" s="120"/>
      <c r="B362" s="120"/>
      <c r="C362" s="121"/>
      <c r="D362" s="121"/>
      <c r="E362" s="121"/>
      <c r="F362" s="120"/>
      <c r="G362" s="121"/>
      <c r="H362" s="133"/>
    </row>
    <row r="363" spans="1:8" ht="13" x14ac:dyDescent="0.6">
      <c r="A363" s="120"/>
      <c r="B363" s="120"/>
      <c r="C363" s="121"/>
      <c r="D363" s="121"/>
      <c r="E363" s="121"/>
      <c r="F363" s="120"/>
      <c r="G363" s="121"/>
      <c r="H363" s="133"/>
    </row>
    <row r="364" spans="1:8" ht="13" x14ac:dyDescent="0.6">
      <c r="A364" s="120"/>
      <c r="B364" s="120"/>
      <c r="C364" s="121"/>
      <c r="D364" s="121"/>
      <c r="E364" s="121"/>
      <c r="F364" s="120"/>
      <c r="G364" s="121"/>
      <c r="H364" s="133"/>
    </row>
    <row r="365" spans="1:8" ht="13" x14ac:dyDescent="0.6">
      <c r="A365" s="120"/>
      <c r="B365" s="120"/>
      <c r="C365" s="121"/>
      <c r="D365" s="121"/>
      <c r="E365" s="121"/>
      <c r="F365" s="120"/>
      <c r="G365" s="121"/>
      <c r="H365" s="133"/>
    </row>
    <row r="366" spans="1:8" ht="13" x14ac:dyDescent="0.6">
      <c r="A366" s="120"/>
      <c r="B366" s="120"/>
      <c r="C366" s="121"/>
      <c r="D366" s="121"/>
      <c r="E366" s="121"/>
      <c r="F366" s="120"/>
      <c r="G366" s="121"/>
      <c r="H366" s="133"/>
    </row>
    <row r="367" spans="1:8" ht="13" x14ac:dyDescent="0.6">
      <c r="A367" s="120"/>
      <c r="B367" s="120"/>
      <c r="C367" s="121"/>
      <c r="D367" s="121"/>
      <c r="E367" s="121"/>
      <c r="F367" s="120"/>
      <c r="G367" s="121"/>
      <c r="H367" s="133"/>
    </row>
    <row r="368" spans="1:8" ht="13" x14ac:dyDescent="0.6">
      <c r="A368" s="120"/>
      <c r="B368" s="120"/>
      <c r="C368" s="121"/>
      <c r="D368" s="121"/>
      <c r="E368" s="121"/>
      <c r="F368" s="120"/>
      <c r="G368" s="121"/>
      <c r="H368" s="133"/>
    </row>
    <row r="369" spans="1:8" ht="13" x14ac:dyDescent="0.6">
      <c r="A369" s="120"/>
      <c r="B369" s="120"/>
      <c r="C369" s="121"/>
      <c r="D369" s="121"/>
      <c r="E369" s="121"/>
      <c r="F369" s="120"/>
      <c r="G369" s="121"/>
      <c r="H369" s="133"/>
    </row>
    <row r="370" spans="1:8" ht="13" x14ac:dyDescent="0.6">
      <c r="A370" s="120"/>
      <c r="B370" s="120"/>
      <c r="C370" s="121"/>
      <c r="D370" s="121"/>
      <c r="E370" s="121"/>
      <c r="F370" s="120"/>
      <c r="G370" s="121"/>
      <c r="H370" s="133"/>
    </row>
    <row r="371" spans="1:8" ht="13" x14ac:dyDescent="0.6">
      <c r="A371" s="120"/>
      <c r="B371" s="120"/>
      <c r="C371" s="121"/>
      <c r="D371" s="121"/>
      <c r="E371" s="121"/>
      <c r="F371" s="120"/>
      <c r="G371" s="121"/>
      <c r="H371" s="133"/>
    </row>
    <row r="372" spans="1:8" ht="13" x14ac:dyDescent="0.6">
      <c r="A372" s="120"/>
      <c r="B372" s="120"/>
      <c r="C372" s="121"/>
      <c r="D372" s="121"/>
      <c r="E372" s="121"/>
      <c r="F372" s="120"/>
      <c r="G372" s="121"/>
      <c r="H372" s="133"/>
    </row>
    <row r="373" spans="1:8" ht="13" x14ac:dyDescent="0.6">
      <c r="A373" s="120"/>
      <c r="B373" s="120"/>
      <c r="C373" s="121"/>
      <c r="D373" s="121"/>
      <c r="E373" s="121"/>
      <c r="F373" s="120"/>
      <c r="G373" s="121"/>
      <c r="H373" s="133"/>
    </row>
    <row r="374" spans="1:8" ht="13" x14ac:dyDescent="0.6">
      <c r="A374" s="120"/>
      <c r="B374" s="120"/>
      <c r="C374" s="121"/>
      <c r="D374" s="121"/>
      <c r="E374" s="121"/>
      <c r="F374" s="120"/>
      <c r="G374" s="121"/>
      <c r="H374" s="133"/>
    </row>
    <row r="375" spans="1:8" ht="13" x14ac:dyDescent="0.6">
      <c r="A375" s="120"/>
      <c r="B375" s="120"/>
      <c r="C375" s="121"/>
      <c r="D375" s="121"/>
      <c r="E375" s="121"/>
      <c r="F375" s="120"/>
      <c r="G375" s="121"/>
      <c r="H375" s="133"/>
    </row>
    <row r="376" spans="1:8" ht="13" x14ac:dyDescent="0.6">
      <c r="A376" s="120"/>
      <c r="B376" s="120"/>
      <c r="C376" s="121"/>
      <c r="D376" s="121"/>
      <c r="E376" s="121"/>
      <c r="F376" s="120"/>
      <c r="G376" s="121"/>
      <c r="H376" s="133"/>
    </row>
    <row r="377" spans="1:8" ht="13" x14ac:dyDescent="0.6">
      <c r="A377" s="120"/>
      <c r="B377" s="120"/>
      <c r="C377" s="121"/>
      <c r="D377" s="121"/>
      <c r="E377" s="121"/>
      <c r="F377" s="120"/>
      <c r="G377" s="121"/>
      <c r="H377" s="133"/>
    </row>
    <row r="378" spans="1:8" ht="13" x14ac:dyDescent="0.6">
      <c r="A378" s="120"/>
      <c r="B378" s="120"/>
      <c r="C378" s="121"/>
      <c r="D378" s="121"/>
      <c r="E378" s="121"/>
      <c r="F378" s="120"/>
      <c r="G378" s="121"/>
      <c r="H378" s="133"/>
    </row>
    <row r="379" spans="1:8" ht="13" x14ac:dyDescent="0.6">
      <c r="A379" s="120"/>
      <c r="B379" s="120"/>
      <c r="C379" s="121"/>
      <c r="D379" s="121"/>
      <c r="E379" s="121"/>
      <c r="F379" s="120"/>
      <c r="G379" s="121"/>
      <c r="H379" s="133"/>
    </row>
    <row r="380" spans="1:8" ht="13" x14ac:dyDescent="0.6">
      <c r="A380" s="120"/>
      <c r="B380" s="120"/>
      <c r="C380" s="121"/>
      <c r="D380" s="121"/>
      <c r="E380" s="121"/>
      <c r="F380" s="120"/>
      <c r="G380" s="121"/>
      <c r="H380" s="133"/>
    </row>
    <row r="381" spans="1:8" ht="13" x14ac:dyDescent="0.6">
      <c r="A381" s="120"/>
      <c r="B381" s="120"/>
      <c r="C381" s="121"/>
      <c r="D381" s="121"/>
      <c r="E381" s="121"/>
      <c r="F381" s="120"/>
      <c r="G381" s="121"/>
      <c r="H381" s="133"/>
    </row>
    <row r="382" spans="1:8" ht="13" x14ac:dyDescent="0.6">
      <c r="A382" s="120"/>
      <c r="B382" s="120"/>
      <c r="C382" s="121"/>
      <c r="D382" s="121"/>
      <c r="E382" s="121"/>
      <c r="F382" s="120"/>
      <c r="G382" s="121"/>
      <c r="H382" s="133"/>
    </row>
    <row r="383" spans="1:8" ht="13" x14ac:dyDescent="0.6">
      <c r="A383" s="120"/>
      <c r="B383" s="120"/>
      <c r="C383" s="121"/>
      <c r="D383" s="121"/>
      <c r="E383" s="121"/>
      <c r="F383" s="120"/>
      <c r="G383" s="121"/>
      <c r="H383" s="133"/>
    </row>
    <row r="384" spans="1:8" ht="13" x14ac:dyDescent="0.6">
      <c r="A384" s="120"/>
      <c r="B384" s="120"/>
      <c r="C384" s="121"/>
      <c r="D384" s="121"/>
      <c r="E384" s="121"/>
      <c r="F384" s="120"/>
      <c r="G384" s="121"/>
      <c r="H384" s="133"/>
    </row>
    <row r="385" spans="1:8" ht="13" x14ac:dyDescent="0.6">
      <c r="A385" s="120"/>
      <c r="B385" s="120"/>
      <c r="C385" s="121"/>
      <c r="D385" s="121"/>
      <c r="E385" s="121"/>
      <c r="F385" s="120"/>
      <c r="G385" s="121"/>
      <c r="H385" s="133"/>
    </row>
    <row r="386" spans="1:8" ht="13" x14ac:dyDescent="0.6">
      <c r="A386" s="120"/>
      <c r="B386" s="120"/>
      <c r="C386" s="121"/>
      <c r="D386" s="121"/>
      <c r="E386" s="121"/>
      <c r="F386" s="120"/>
      <c r="G386" s="121"/>
      <c r="H386" s="133"/>
    </row>
    <row r="387" spans="1:8" ht="13" x14ac:dyDescent="0.6">
      <c r="A387" s="120"/>
      <c r="B387" s="120"/>
      <c r="C387" s="121"/>
      <c r="D387" s="121"/>
      <c r="E387" s="121"/>
      <c r="F387" s="120"/>
      <c r="G387" s="121"/>
      <c r="H387" s="133"/>
    </row>
    <row r="388" spans="1:8" ht="13" x14ac:dyDescent="0.6">
      <c r="A388" s="120"/>
      <c r="B388" s="120"/>
      <c r="C388" s="121"/>
      <c r="D388" s="121"/>
      <c r="E388" s="121"/>
      <c r="F388" s="120"/>
      <c r="G388" s="121"/>
      <c r="H388" s="133"/>
    </row>
    <row r="389" spans="1:8" ht="13" x14ac:dyDescent="0.6">
      <c r="A389" s="120"/>
      <c r="B389" s="120"/>
      <c r="C389" s="121"/>
      <c r="D389" s="121"/>
      <c r="E389" s="121"/>
      <c r="F389" s="120"/>
      <c r="G389" s="121"/>
      <c r="H389" s="133"/>
    </row>
    <row r="390" spans="1:8" ht="13" x14ac:dyDescent="0.6">
      <c r="A390" s="120"/>
      <c r="B390" s="120"/>
      <c r="C390" s="121"/>
      <c r="D390" s="121"/>
      <c r="E390" s="121"/>
      <c r="F390" s="120"/>
      <c r="G390" s="121"/>
      <c r="H390" s="133"/>
    </row>
    <row r="391" spans="1:8" ht="13" x14ac:dyDescent="0.6">
      <c r="A391" s="120"/>
      <c r="B391" s="120"/>
      <c r="C391" s="121"/>
      <c r="D391" s="121"/>
      <c r="E391" s="121"/>
      <c r="F391" s="120"/>
      <c r="G391" s="121"/>
      <c r="H391" s="133"/>
    </row>
    <row r="392" spans="1:8" ht="13" x14ac:dyDescent="0.6">
      <c r="A392" s="120"/>
      <c r="B392" s="120"/>
      <c r="C392" s="121"/>
      <c r="D392" s="121"/>
      <c r="E392" s="121"/>
      <c r="F392" s="120"/>
      <c r="G392" s="121"/>
      <c r="H392" s="133"/>
    </row>
    <row r="393" spans="1:8" ht="13" x14ac:dyDescent="0.6">
      <c r="A393" s="120"/>
      <c r="B393" s="120"/>
      <c r="C393" s="121"/>
      <c r="D393" s="121"/>
      <c r="E393" s="121"/>
      <c r="F393" s="120"/>
      <c r="G393" s="121"/>
      <c r="H393" s="133"/>
    </row>
    <row r="394" spans="1:8" ht="13" x14ac:dyDescent="0.6">
      <c r="A394" s="120"/>
      <c r="B394" s="120"/>
      <c r="C394" s="121"/>
      <c r="D394" s="121"/>
      <c r="E394" s="121"/>
      <c r="F394" s="120"/>
      <c r="G394" s="121"/>
      <c r="H394" s="133"/>
    </row>
    <row r="395" spans="1:8" ht="13" x14ac:dyDescent="0.6">
      <c r="A395" s="120"/>
      <c r="B395" s="120"/>
      <c r="C395" s="121"/>
      <c r="D395" s="121"/>
      <c r="E395" s="121"/>
      <c r="F395" s="120"/>
      <c r="G395" s="121"/>
      <c r="H395" s="133"/>
    </row>
    <row r="396" spans="1:8" ht="13" x14ac:dyDescent="0.6">
      <c r="A396" s="120"/>
      <c r="B396" s="120"/>
      <c r="C396" s="121"/>
      <c r="D396" s="121"/>
      <c r="E396" s="121"/>
      <c r="F396" s="120"/>
      <c r="G396" s="121"/>
      <c r="H396" s="133"/>
    </row>
    <row r="397" spans="1:8" ht="13" x14ac:dyDescent="0.6">
      <c r="A397" s="120"/>
      <c r="B397" s="120"/>
      <c r="C397" s="121"/>
      <c r="D397" s="121"/>
      <c r="E397" s="121"/>
      <c r="F397" s="120"/>
      <c r="G397" s="121"/>
      <c r="H397" s="133"/>
    </row>
    <row r="398" spans="1:8" ht="13" x14ac:dyDescent="0.6">
      <c r="A398" s="120"/>
      <c r="B398" s="120"/>
      <c r="C398" s="121"/>
      <c r="D398" s="121"/>
      <c r="E398" s="121"/>
      <c r="F398" s="120"/>
      <c r="G398" s="121"/>
      <c r="H398" s="133"/>
    </row>
    <row r="399" spans="1:8" ht="13" x14ac:dyDescent="0.6">
      <c r="A399" s="120"/>
      <c r="B399" s="120"/>
      <c r="C399" s="121"/>
      <c r="D399" s="121"/>
      <c r="E399" s="121"/>
      <c r="F399" s="120"/>
      <c r="G399" s="121"/>
      <c r="H399" s="133"/>
    </row>
    <row r="400" spans="1:8" ht="13" x14ac:dyDescent="0.6">
      <c r="A400" s="120"/>
      <c r="B400" s="120"/>
      <c r="C400" s="121"/>
      <c r="D400" s="121"/>
      <c r="E400" s="121"/>
      <c r="F400" s="120"/>
      <c r="G400" s="121"/>
      <c r="H400" s="133"/>
    </row>
    <row r="401" spans="1:8" ht="13" x14ac:dyDescent="0.6">
      <c r="A401" s="120"/>
      <c r="B401" s="120"/>
      <c r="C401" s="121"/>
      <c r="D401" s="121"/>
      <c r="E401" s="121"/>
      <c r="F401" s="120"/>
      <c r="G401" s="121"/>
      <c r="H401" s="133"/>
    </row>
    <row r="402" spans="1:8" ht="13" x14ac:dyDescent="0.6">
      <c r="A402" s="120"/>
      <c r="B402" s="120"/>
      <c r="C402" s="121"/>
      <c r="D402" s="121"/>
      <c r="E402" s="121"/>
      <c r="F402" s="120"/>
      <c r="G402" s="121"/>
      <c r="H402" s="133"/>
    </row>
    <row r="403" spans="1:8" ht="13" x14ac:dyDescent="0.6">
      <c r="A403" s="120"/>
      <c r="B403" s="120"/>
      <c r="C403" s="121"/>
      <c r="D403" s="121"/>
      <c r="E403" s="121"/>
      <c r="F403" s="120"/>
      <c r="G403" s="121"/>
      <c r="H403" s="133"/>
    </row>
    <row r="404" spans="1:8" ht="13" x14ac:dyDescent="0.6">
      <c r="A404" s="120"/>
      <c r="B404" s="120"/>
      <c r="C404" s="121"/>
      <c r="D404" s="121"/>
      <c r="E404" s="121"/>
      <c r="F404" s="120"/>
      <c r="G404" s="121"/>
      <c r="H404" s="133"/>
    </row>
    <row r="405" spans="1:8" ht="13" x14ac:dyDescent="0.6">
      <c r="A405" s="120"/>
      <c r="B405" s="120"/>
      <c r="C405" s="121"/>
      <c r="D405" s="121"/>
      <c r="E405" s="121"/>
      <c r="F405" s="120"/>
      <c r="G405" s="121"/>
      <c r="H405" s="133"/>
    </row>
    <row r="406" spans="1:8" ht="13" x14ac:dyDescent="0.6">
      <c r="A406" s="120"/>
      <c r="B406" s="120"/>
      <c r="C406" s="121"/>
      <c r="D406" s="121"/>
      <c r="E406" s="121"/>
      <c r="F406" s="120"/>
      <c r="G406" s="121"/>
      <c r="H406" s="133"/>
    </row>
    <row r="407" spans="1:8" ht="13" x14ac:dyDescent="0.6">
      <c r="A407" s="120"/>
      <c r="B407" s="120"/>
      <c r="C407" s="121"/>
      <c r="D407" s="121"/>
      <c r="E407" s="121"/>
      <c r="F407" s="120"/>
      <c r="G407" s="121"/>
      <c r="H407" s="133"/>
    </row>
    <row r="408" spans="1:8" ht="13" x14ac:dyDescent="0.6">
      <c r="A408" s="120"/>
      <c r="B408" s="120"/>
      <c r="C408" s="121"/>
      <c r="D408" s="121"/>
      <c r="E408" s="121"/>
      <c r="F408" s="120"/>
      <c r="G408" s="121"/>
      <c r="H408" s="133"/>
    </row>
    <row r="409" spans="1:8" ht="13" x14ac:dyDescent="0.6">
      <c r="A409" s="120"/>
      <c r="B409" s="120"/>
      <c r="C409" s="121"/>
      <c r="D409" s="121"/>
      <c r="E409" s="121"/>
      <c r="F409" s="120"/>
      <c r="G409" s="121"/>
      <c r="H409" s="133"/>
    </row>
    <row r="410" spans="1:8" ht="13" x14ac:dyDescent="0.6">
      <c r="A410" s="120"/>
      <c r="B410" s="120"/>
      <c r="C410" s="121"/>
      <c r="D410" s="121"/>
      <c r="E410" s="121"/>
      <c r="F410" s="120"/>
      <c r="G410" s="121"/>
      <c r="H410" s="133"/>
    </row>
    <row r="411" spans="1:8" ht="13" x14ac:dyDescent="0.6">
      <c r="A411" s="120"/>
      <c r="B411" s="120"/>
      <c r="C411" s="121"/>
      <c r="D411" s="121"/>
      <c r="E411" s="121"/>
      <c r="F411" s="120"/>
      <c r="G411" s="121"/>
      <c r="H411" s="133"/>
    </row>
    <row r="412" spans="1:8" ht="13" x14ac:dyDescent="0.6">
      <c r="A412" s="120"/>
      <c r="B412" s="120"/>
      <c r="C412" s="121"/>
      <c r="D412" s="121"/>
      <c r="E412" s="121"/>
      <c r="F412" s="120"/>
      <c r="G412" s="121"/>
      <c r="H412" s="133"/>
    </row>
    <row r="413" spans="1:8" ht="13" x14ac:dyDescent="0.6">
      <c r="A413" s="120"/>
      <c r="B413" s="120"/>
      <c r="C413" s="121"/>
      <c r="D413" s="121"/>
      <c r="E413" s="121"/>
      <c r="F413" s="120"/>
      <c r="G413" s="121"/>
      <c r="H413" s="133"/>
    </row>
    <row r="414" spans="1:8" ht="13" x14ac:dyDescent="0.6">
      <c r="A414" s="120"/>
      <c r="B414" s="120"/>
      <c r="C414" s="121"/>
      <c r="D414" s="121"/>
      <c r="E414" s="121"/>
      <c r="F414" s="120"/>
      <c r="G414" s="121"/>
      <c r="H414" s="133"/>
    </row>
    <row r="415" spans="1:8" ht="13" x14ac:dyDescent="0.6">
      <c r="A415" s="120"/>
      <c r="B415" s="120"/>
      <c r="C415" s="121"/>
      <c r="D415" s="121"/>
      <c r="E415" s="121"/>
      <c r="F415" s="120"/>
      <c r="G415" s="121"/>
      <c r="H415" s="133"/>
    </row>
    <row r="416" spans="1:8" ht="13" x14ac:dyDescent="0.6">
      <c r="A416" s="120"/>
      <c r="B416" s="120"/>
      <c r="C416" s="121"/>
      <c r="D416" s="121"/>
      <c r="E416" s="121"/>
      <c r="F416" s="120"/>
      <c r="G416" s="121"/>
      <c r="H416" s="133"/>
    </row>
    <row r="417" spans="1:8" ht="13" x14ac:dyDescent="0.6">
      <c r="A417" s="120"/>
      <c r="B417" s="120"/>
      <c r="C417" s="121"/>
      <c r="D417" s="121"/>
      <c r="E417" s="121"/>
      <c r="F417" s="120"/>
      <c r="G417" s="121"/>
      <c r="H417" s="133"/>
    </row>
    <row r="418" spans="1:8" ht="13" x14ac:dyDescent="0.6">
      <c r="A418" s="120"/>
      <c r="B418" s="120"/>
      <c r="C418" s="121"/>
      <c r="D418" s="121"/>
      <c r="E418" s="121"/>
      <c r="F418" s="120"/>
      <c r="G418" s="121"/>
      <c r="H418" s="133"/>
    </row>
    <row r="419" spans="1:8" ht="13" x14ac:dyDescent="0.6">
      <c r="A419" s="120"/>
      <c r="B419" s="120"/>
      <c r="C419" s="121"/>
      <c r="D419" s="121"/>
      <c r="E419" s="121"/>
      <c r="F419" s="120"/>
      <c r="G419" s="121"/>
      <c r="H419" s="133"/>
    </row>
    <row r="420" spans="1:8" ht="13" x14ac:dyDescent="0.6">
      <c r="A420" s="120"/>
      <c r="B420" s="120"/>
      <c r="C420" s="121"/>
      <c r="D420" s="121"/>
      <c r="E420" s="121"/>
      <c r="F420" s="120"/>
      <c r="G420" s="121"/>
      <c r="H420" s="133"/>
    </row>
    <row r="421" spans="1:8" ht="13" x14ac:dyDescent="0.6">
      <c r="A421" s="120"/>
      <c r="B421" s="120"/>
      <c r="C421" s="121"/>
      <c r="D421" s="121"/>
      <c r="E421" s="121"/>
      <c r="F421" s="120"/>
      <c r="G421" s="121"/>
      <c r="H421" s="133"/>
    </row>
    <row r="422" spans="1:8" ht="13" x14ac:dyDescent="0.6">
      <c r="A422" s="120"/>
      <c r="B422" s="120"/>
      <c r="C422" s="121"/>
      <c r="D422" s="121"/>
      <c r="E422" s="121"/>
      <c r="F422" s="120"/>
      <c r="G422" s="121"/>
      <c r="H422" s="133"/>
    </row>
    <row r="423" spans="1:8" ht="13" x14ac:dyDescent="0.6">
      <c r="A423" s="120"/>
      <c r="B423" s="120"/>
      <c r="C423" s="121"/>
      <c r="D423" s="121"/>
      <c r="E423" s="121"/>
      <c r="F423" s="120"/>
      <c r="G423" s="121"/>
      <c r="H423" s="133"/>
    </row>
    <row r="424" spans="1:8" ht="13" x14ac:dyDescent="0.6">
      <c r="A424" s="120"/>
      <c r="B424" s="120"/>
      <c r="C424" s="121"/>
      <c r="D424" s="121"/>
      <c r="E424" s="121"/>
      <c r="F424" s="120"/>
      <c r="G424" s="121"/>
      <c r="H424" s="133"/>
    </row>
    <row r="425" spans="1:8" ht="13" x14ac:dyDescent="0.6">
      <c r="A425" s="120"/>
      <c r="B425" s="120"/>
      <c r="C425" s="121"/>
      <c r="D425" s="121"/>
      <c r="E425" s="121"/>
      <c r="F425" s="120"/>
      <c r="G425" s="121"/>
      <c r="H425" s="133"/>
    </row>
    <row r="426" spans="1:8" ht="13" x14ac:dyDescent="0.6">
      <c r="A426" s="120"/>
      <c r="B426" s="120"/>
      <c r="C426" s="121"/>
      <c r="D426" s="121"/>
      <c r="E426" s="121"/>
      <c r="F426" s="120"/>
      <c r="G426" s="121"/>
      <c r="H426" s="133"/>
    </row>
    <row r="427" spans="1:8" ht="13" x14ac:dyDescent="0.6">
      <c r="A427" s="120"/>
      <c r="B427" s="120"/>
      <c r="C427" s="121"/>
      <c r="D427" s="121"/>
      <c r="E427" s="121"/>
      <c r="F427" s="120"/>
      <c r="G427" s="121"/>
      <c r="H427" s="133"/>
    </row>
    <row r="428" spans="1:8" ht="13" x14ac:dyDescent="0.6">
      <c r="A428" s="120"/>
      <c r="B428" s="120"/>
      <c r="C428" s="121"/>
      <c r="D428" s="121"/>
      <c r="E428" s="121"/>
      <c r="F428" s="120"/>
      <c r="G428" s="121"/>
      <c r="H428" s="133"/>
    </row>
    <row r="429" spans="1:8" ht="13" x14ac:dyDescent="0.6">
      <c r="A429" s="120"/>
      <c r="B429" s="120"/>
      <c r="C429" s="121"/>
      <c r="D429" s="121"/>
      <c r="E429" s="121"/>
      <c r="F429" s="120"/>
      <c r="G429" s="121"/>
      <c r="H429" s="133"/>
    </row>
    <row r="430" spans="1:8" ht="13" x14ac:dyDescent="0.6">
      <c r="A430" s="120"/>
      <c r="B430" s="120"/>
      <c r="C430" s="121"/>
      <c r="D430" s="121"/>
      <c r="E430" s="121"/>
      <c r="F430" s="120"/>
      <c r="G430" s="121"/>
      <c r="H430" s="133"/>
    </row>
    <row r="431" spans="1:8" ht="13" x14ac:dyDescent="0.6">
      <c r="A431" s="120"/>
      <c r="B431" s="120"/>
      <c r="C431" s="121"/>
      <c r="D431" s="121"/>
      <c r="E431" s="121"/>
      <c r="F431" s="120"/>
      <c r="G431" s="121"/>
      <c r="H431" s="133"/>
    </row>
    <row r="432" spans="1:8" ht="13" x14ac:dyDescent="0.6">
      <c r="A432" s="120"/>
      <c r="B432" s="120"/>
      <c r="C432" s="121"/>
      <c r="D432" s="121"/>
      <c r="E432" s="121"/>
      <c r="F432" s="120"/>
      <c r="G432" s="121"/>
      <c r="H432" s="133"/>
    </row>
    <row r="433" spans="1:8" ht="13" x14ac:dyDescent="0.6">
      <c r="A433" s="120"/>
      <c r="B433" s="120"/>
      <c r="C433" s="121"/>
      <c r="D433" s="121"/>
      <c r="E433" s="121"/>
      <c r="F433" s="120"/>
      <c r="G433" s="121"/>
      <c r="H433" s="133"/>
    </row>
    <row r="434" spans="1:8" ht="13" x14ac:dyDescent="0.6">
      <c r="A434" s="120"/>
      <c r="B434" s="120"/>
      <c r="C434" s="121"/>
      <c r="D434" s="121"/>
      <c r="E434" s="121"/>
      <c r="F434" s="120"/>
      <c r="G434" s="121"/>
      <c r="H434" s="133"/>
    </row>
    <row r="435" spans="1:8" ht="13" x14ac:dyDescent="0.6">
      <c r="A435" s="120"/>
      <c r="B435" s="120"/>
      <c r="C435" s="121"/>
      <c r="D435" s="121"/>
      <c r="E435" s="121"/>
      <c r="F435" s="120"/>
      <c r="G435" s="121"/>
      <c r="H435" s="133"/>
    </row>
    <row r="436" spans="1:8" ht="13" x14ac:dyDescent="0.6">
      <c r="A436" s="120"/>
      <c r="B436" s="120"/>
      <c r="C436" s="121"/>
      <c r="D436" s="121"/>
      <c r="E436" s="121"/>
      <c r="F436" s="120"/>
      <c r="G436" s="121"/>
      <c r="H436" s="133"/>
    </row>
    <row r="437" spans="1:8" ht="13" x14ac:dyDescent="0.6">
      <c r="A437" s="120"/>
      <c r="B437" s="120"/>
      <c r="C437" s="121"/>
      <c r="D437" s="121"/>
      <c r="E437" s="121"/>
      <c r="F437" s="120"/>
      <c r="G437" s="121"/>
      <c r="H437" s="133"/>
    </row>
    <row r="438" spans="1:8" ht="13" x14ac:dyDescent="0.6">
      <c r="A438" s="120"/>
      <c r="B438" s="120"/>
      <c r="C438" s="121"/>
      <c r="D438" s="121"/>
      <c r="E438" s="121"/>
      <c r="F438" s="120"/>
      <c r="G438" s="121"/>
      <c r="H438" s="133"/>
    </row>
    <row r="439" spans="1:8" ht="13" x14ac:dyDescent="0.6">
      <c r="A439" s="120"/>
      <c r="B439" s="120"/>
      <c r="C439" s="121"/>
      <c r="D439" s="121"/>
      <c r="E439" s="121"/>
      <c r="F439" s="120"/>
      <c r="G439" s="121"/>
      <c r="H439" s="133"/>
    </row>
    <row r="440" spans="1:8" ht="13" x14ac:dyDescent="0.6">
      <c r="A440" s="120"/>
      <c r="B440" s="120"/>
      <c r="C440" s="121"/>
      <c r="D440" s="121"/>
      <c r="E440" s="121"/>
      <c r="F440" s="120"/>
      <c r="G440" s="121"/>
      <c r="H440" s="133"/>
    </row>
    <row r="441" spans="1:8" ht="13" x14ac:dyDescent="0.6">
      <c r="A441" s="120"/>
      <c r="B441" s="120"/>
      <c r="C441" s="121"/>
      <c r="D441" s="121"/>
      <c r="E441" s="121"/>
      <c r="F441" s="120"/>
      <c r="G441" s="121"/>
      <c r="H441" s="133"/>
    </row>
    <row r="442" spans="1:8" ht="13" x14ac:dyDescent="0.6">
      <c r="A442" s="120"/>
      <c r="B442" s="120"/>
      <c r="C442" s="121"/>
      <c r="D442" s="121"/>
      <c r="E442" s="121"/>
      <c r="F442" s="120"/>
      <c r="G442" s="121"/>
      <c r="H442" s="133"/>
    </row>
    <row r="443" spans="1:8" ht="13" x14ac:dyDescent="0.6">
      <c r="A443" s="120"/>
      <c r="B443" s="120"/>
      <c r="C443" s="121"/>
      <c r="D443" s="121"/>
      <c r="E443" s="121"/>
      <c r="F443" s="120"/>
      <c r="G443" s="121"/>
      <c r="H443" s="133"/>
    </row>
    <row r="444" spans="1:8" ht="13" x14ac:dyDescent="0.6">
      <c r="A444" s="120"/>
      <c r="B444" s="120"/>
      <c r="C444" s="121"/>
      <c r="D444" s="121"/>
      <c r="E444" s="121"/>
      <c r="F444" s="120"/>
      <c r="G444" s="121"/>
      <c r="H444" s="133"/>
    </row>
    <row r="445" spans="1:8" ht="13" x14ac:dyDescent="0.6">
      <c r="A445" s="120"/>
      <c r="B445" s="120"/>
      <c r="C445" s="121"/>
      <c r="D445" s="121"/>
      <c r="E445" s="121"/>
      <c r="F445" s="120"/>
      <c r="G445" s="121"/>
      <c r="H445" s="133"/>
    </row>
    <row r="446" spans="1:8" ht="13" x14ac:dyDescent="0.6">
      <c r="A446" s="120"/>
      <c r="B446" s="120"/>
      <c r="C446" s="121"/>
      <c r="D446" s="121"/>
      <c r="E446" s="121"/>
      <c r="F446" s="120"/>
      <c r="G446" s="121"/>
      <c r="H446" s="133"/>
    </row>
    <row r="447" spans="1:8" ht="13" x14ac:dyDescent="0.6">
      <c r="A447" s="120"/>
      <c r="B447" s="120"/>
      <c r="C447" s="121"/>
      <c r="D447" s="121"/>
      <c r="E447" s="121"/>
      <c r="F447" s="120"/>
      <c r="G447" s="121"/>
      <c r="H447" s="133"/>
    </row>
    <row r="448" spans="1:8" ht="13" x14ac:dyDescent="0.6">
      <c r="A448" s="120"/>
      <c r="B448" s="120"/>
      <c r="C448" s="121"/>
      <c r="D448" s="121"/>
      <c r="E448" s="121"/>
      <c r="F448" s="120"/>
      <c r="G448" s="121"/>
      <c r="H448" s="133"/>
    </row>
    <row r="449" spans="1:8" ht="13" x14ac:dyDescent="0.6">
      <c r="A449" s="120"/>
      <c r="B449" s="120"/>
      <c r="C449" s="121"/>
      <c r="D449" s="121"/>
      <c r="E449" s="121"/>
      <c r="F449" s="120"/>
      <c r="G449" s="121"/>
      <c r="H449" s="133"/>
    </row>
    <row r="450" spans="1:8" ht="13" x14ac:dyDescent="0.6">
      <c r="A450" s="120"/>
      <c r="B450" s="120"/>
      <c r="C450" s="121"/>
      <c r="D450" s="121"/>
      <c r="E450" s="121"/>
      <c r="F450" s="120"/>
      <c r="G450" s="121"/>
      <c r="H450" s="133"/>
    </row>
    <row r="451" spans="1:8" ht="13" x14ac:dyDescent="0.6">
      <c r="A451" s="120"/>
      <c r="B451" s="120"/>
      <c r="C451" s="121"/>
      <c r="D451" s="121"/>
      <c r="E451" s="121"/>
      <c r="F451" s="120"/>
      <c r="G451" s="121"/>
      <c r="H451" s="133"/>
    </row>
    <row r="452" spans="1:8" ht="13" x14ac:dyDescent="0.6">
      <c r="A452" s="120"/>
      <c r="B452" s="120"/>
      <c r="C452" s="121"/>
      <c r="D452" s="121"/>
      <c r="E452" s="121"/>
      <c r="F452" s="120"/>
      <c r="G452" s="121"/>
      <c r="H452" s="133"/>
    </row>
    <row r="453" spans="1:8" ht="13" x14ac:dyDescent="0.6">
      <c r="A453" s="120"/>
      <c r="B453" s="120"/>
      <c r="C453" s="121"/>
      <c r="D453" s="121"/>
      <c r="E453" s="121"/>
      <c r="F453" s="120"/>
      <c r="G453" s="121"/>
      <c r="H453" s="133"/>
    </row>
    <row r="454" spans="1:8" ht="13" x14ac:dyDescent="0.6">
      <c r="A454" s="120"/>
      <c r="B454" s="120"/>
      <c r="C454" s="121"/>
      <c r="D454" s="121"/>
      <c r="E454" s="121"/>
      <c r="F454" s="120"/>
      <c r="G454" s="121"/>
      <c r="H454" s="133"/>
    </row>
    <row r="455" spans="1:8" ht="13" x14ac:dyDescent="0.6">
      <c r="A455" s="120"/>
      <c r="B455" s="120"/>
      <c r="C455" s="121"/>
      <c r="D455" s="121"/>
      <c r="E455" s="121"/>
      <c r="F455" s="120"/>
      <c r="G455" s="121"/>
      <c r="H455" s="133"/>
    </row>
    <row r="456" spans="1:8" ht="13" x14ac:dyDescent="0.6">
      <c r="A456" s="120"/>
      <c r="B456" s="120"/>
      <c r="C456" s="121"/>
      <c r="D456" s="121"/>
      <c r="E456" s="121"/>
      <c r="F456" s="120"/>
      <c r="G456" s="121"/>
      <c r="H456" s="133"/>
    </row>
    <row r="457" spans="1:8" ht="13" x14ac:dyDescent="0.6">
      <c r="A457" s="120"/>
      <c r="B457" s="120"/>
      <c r="C457" s="121"/>
      <c r="D457" s="121"/>
      <c r="E457" s="121"/>
      <c r="F457" s="120"/>
      <c r="G457" s="121"/>
      <c r="H457" s="133"/>
    </row>
    <row r="458" spans="1:8" ht="13" x14ac:dyDescent="0.6">
      <c r="A458" s="120"/>
      <c r="B458" s="120"/>
      <c r="C458" s="121"/>
      <c r="D458" s="121"/>
      <c r="E458" s="121"/>
      <c r="F458" s="120"/>
      <c r="G458" s="121"/>
      <c r="H458" s="133"/>
    </row>
    <row r="459" spans="1:8" ht="13" x14ac:dyDescent="0.6">
      <c r="A459" s="120"/>
      <c r="B459" s="120"/>
      <c r="C459" s="121"/>
      <c r="D459" s="121"/>
      <c r="E459" s="121"/>
      <c r="F459" s="120"/>
      <c r="G459" s="121"/>
      <c r="H459" s="133"/>
    </row>
    <row r="460" spans="1:8" ht="13" x14ac:dyDescent="0.6">
      <c r="A460" s="120"/>
      <c r="B460" s="120"/>
      <c r="C460" s="121"/>
      <c r="D460" s="121"/>
      <c r="E460" s="121"/>
      <c r="F460" s="120"/>
      <c r="G460" s="121"/>
      <c r="H460" s="133"/>
    </row>
    <row r="461" spans="1:8" ht="13" x14ac:dyDescent="0.6">
      <c r="A461" s="120"/>
      <c r="B461" s="120"/>
      <c r="C461" s="121"/>
      <c r="D461" s="121"/>
      <c r="E461" s="121"/>
      <c r="F461" s="120"/>
      <c r="G461" s="121"/>
      <c r="H461" s="133"/>
    </row>
    <row r="462" spans="1:8" ht="13" x14ac:dyDescent="0.6">
      <c r="A462" s="120"/>
      <c r="B462" s="120"/>
      <c r="C462" s="121"/>
      <c r="D462" s="121"/>
      <c r="E462" s="121"/>
      <c r="F462" s="120"/>
      <c r="G462" s="121"/>
      <c r="H462" s="133"/>
    </row>
    <row r="463" spans="1:8" ht="13" x14ac:dyDescent="0.6">
      <c r="A463" s="120"/>
      <c r="B463" s="120"/>
      <c r="C463" s="121"/>
      <c r="D463" s="121"/>
      <c r="E463" s="121"/>
      <c r="F463" s="120"/>
      <c r="G463" s="121"/>
      <c r="H463" s="133"/>
    </row>
    <row r="464" spans="1:8" ht="13" x14ac:dyDescent="0.6">
      <c r="A464" s="120"/>
      <c r="B464" s="120"/>
      <c r="C464" s="121"/>
      <c r="D464" s="121"/>
      <c r="E464" s="121"/>
      <c r="F464" s="120"/>
      <c r="G464" s="121"/>
      <c r="H464" s="133"/>
    </row>
    <row r="465" spans="1:8" ht="13" x14ac:dyDescent="0.6">
      <c r="A465" s="120"/>
      <c r="B465" s="120"/>
      <c r="C465" s="121"/>
      <c r="D465" s="121"/>
      <c r="E465" s="121"/>
      <c r="F465" s="120"/>
      <c r="G465" s="121"/>
      <c r="H465" s="133"/>
    </row>
    <row r="466" spans="1:8" ht="13" x14ac:dyDescent="0.6">
      <c r="A466" s="120"/>
      <c r="B466" s="120"/>
      <c r="C466" s="121"/>
      <c r="D466" s="121"/>
      <c r="E466" s="121"/>
      <c r="F466" s="120"/>
      <c r="G466" s="121"/>
      <c r="H466" s="133"/>
    </row>
    <row r="467" spans="1:8" ht="13" x14ac:dyDescent="0.6">
      <c r="A467" s="120"/>
      <c r="B467" s="120"/>
      <c r="C467" s="121"/>
      <c r="D467" s="121"/>
      <c r="E467" s="121"/>
      <c r="F467" s="120"/>
      <c r="G467" s="121"/>
      <c r="H467" s="133"/>
    </row>
    <row r="468" spans="1:8" ht="13" x14ac:dyDescent="0.6">
      <c r="A468" s="120"/>
      <c r="B468" s="120"/>
      <c r="C468" s="121"/>
      <c r="D468" s="121"/>
      <c r="E468" s="121"/>
      <c r="F468" s="120"/>
      <c r="G468" s="121"/>
      <c r="H468" s="133"/>
    </row>
    <row r="469" spans="1:8" ht="13" x14ac:dyDescent="0.6">
      <c r="A469" s="120"/>
      <c r="B469" s="120"/>
      <c r="C469" s="121"/>
      <c r="D469" s="121"/>
      <c r="E469" s="121"/>
      <c r="F469" s="120"/>
      <c r="G469" s="121"/>
      <c r="H469" s="133"/>
    </row>
    <row r="470" spans="1:8" ht="13" x14ac:dyDescent="0.6">
      <c r="A470" s="120"/>
      <c r="B470" s="120"/>
      <c r="C470" s="121"/>
      <c r="D470" s="121"/>
      <c r="E470" s="121"/>
      <c r="F470" s="120"/>
      <c r="G470" s="121"/>
      <c r="H470" s="133"/>
    </row>
    <row r="471" spans="1:8" ht="13" x14ac:dyDescent="0.6">
      <c r="A471" s="120"/>
      <c r="B471" s="120"/>
      <c r="C471" s="121"/>
      <c r="D471" s="121"/>
      <c r="E471" s="121"/>
      <c r="F471" s="120"/>
      <c r="G471" s="121"/>
      <c r="H471" s="133"/>
    </row>
    <row r="472" spans="1:8" ht="13" x14ac:dyDescent="0.6">
      <c r="A472" s="120"/>
      <c r="B472" s="120"/>
      <c r="C472" s="121"/>
      <c r="D472" s="121"/>
      <c r="E472" s="121"/>
      <c r="F472" s="120"/>
      <c r="G472" s="121"/>
      <c r="H472" s="133"/>
    </row>
    <row r="473" spans="1:8" ht="13" x14ac:dyDescent="0.6">
      <c r="A473" s="120"/>
      <c r="B473" s="120"/>
      <c r="C473" s="121"/>
      <c r="D473" s="121"/>
      <c r="E473" s="121"/>
      <c r="F473" s="120"/>
      <c r="G473" s="121"/>
      <c r="H473" s="133"/>
    </row>
    <row r="474" spans="1:8" ht="13" x14ac:dyDescent="0.6">
      <c r="A474" s="120"/>
      <c r="B474" s="120"/>
      <c r="C474" s="121"/>
      <c r="D474" s="121"/>
      <c r="E474" s="121"/>
      <c r="F474" s="120"/>
      <c r="G474" s="121"/>
      <c r="H474" s="133"/>
    </row>
    <row r="475" spans="1:8" ht="13" x14ac:dyDescent="0.6">
      <c r="A475" s="120"/>
      <c r="B475" s="120"/>
      <c r="C475" s="121"/>
      <c r="D475" s="121"/>
      <c r="E475" s="121"/>
      <c r="F475" s="120"/>
      <c r="G475" s="121"/>
      <c r="H475" s="133"/>
    </row>
    <row r="476" spans="1:8" ht="13" x14ac:dyDescent="0.6">
      <c r="A476" s="120"/>
      <c r="B476" s="120"/>
      <c r="C476" s="121"/>
      <c r="D476" s="121"/>
      <c r="E476" s="121"/>
      <c r="F476" s="120"/>
      <c r="G476" s="121"/>
      <c r="H476" s="133"/>
    </row>
    <row r="477" spans="1:8" ht="13" x14ac:dyDescent="0.6">
      <c r="A477" s="120"/>
      <c r="B477" s="120"/>
      <c r="C477" s="121"/>
      <c r="D477" s="121"/>
      <c r="E477" s="121"/>
      <c r="F477" s="120"/>
      <c r="G477" s="121"/>
      <c r="H477" s="133"/>
    </row>
    <row r="478" spans="1:8" ht="13" x14ac:dyDescent="0.6">
      <c r="A478" s="120"/>
      <c r="B478" s="120"/>
      <c r="C478" s="121"/>
      <c r="D478" s="121"/>
      <c r="E478" s="121"/>
      <c r="F478" s="120"/>
      <c r="G478" s="121"/>
      <c r="H478" s="133"/>
    </row>
    <row r="479" spans="1:8" ht="13" x14ac:dyDescent="0.6">
      <c r="A479" s="120"/>
      <c r="B479" s="120"/>
      <c r="C479" s="121"/>
      <c r="D479" s="121"/>
      <c r="E479" s="121"/>
      <c r="F479" s="120"/>
      <c r="G479" s="121"/>
      <c r="H479" s="133"/>
    </row>
    <row r="480" spans="1:8" ht="13" x14ac:dyDescent="0.6">
      <c r="A480" s="120"/>
      <c r="B480" s="120"/>
      <c r="C480" s="121"/>
      <c r="D480" s="121"/>
      <c r="E480" s="121"/>
      <c r="F480" s="120"/>
      <c r="G480" s="121"/>
      <c r="H480" s="133"/>
    </row>
    <row r="481" spans="1:8" ht="13" x14ac:dyDescent="0.6">
      <c r="A481" s="120"/>
      <c r="B481" s="120"/>
      <c r="C481" s="121"/>
      <c r="D481" s="121"/>
      <c r="E481" s="121"/>
      <c r="F481" s="120"/>
      <c r="G481" s="121"/>
      <c r="H481" s="133"/>
    </row>
    <row r="482" spans="1:8" ht="13" x14ac:dyDescent="0.6">
      <c r="A482" s="120"/>
      <c r="B482" s="120"/>
      <c r="C482" s="121"/>
      <c r="D482" s="121"/>
      <c r="E482" s="121"/>
      <c r="F482" s="120"/>
      <c r="G482" s="121"/>
      <c r="H482" s="133"/>
    </row>
    <row r="483" spans="1:8" ht="13" x14ac:dyDescent="0.6">
      <c r="A483" s="120"/>
      <c r="B483" s="120"/>
      <c r="C483" s="121"/>
      <c r="D483" s="121"/>
      <c r="E483" s="121"/>
      <c r="F483" s="120"/>
      <c r="G483" s="121"/>
      <c r="H483" s="133"/>
    </row>
    <row r="484" spans="1:8" ht="13" x14ac:dyDescent="0.6">
      <c r="A484" s="120"/>
      <c r="B484" s="120"/>
      <c r="C484" s="121"/>
      <c r="D484" s="121"/>
      <c r="E484" s="121"/>
      <c r="F484" s="120"/>
      <c r="G484" s="121"/>
      <c r="H484" s="133"/>
    </row>
    <row r="485" spans="1:8" ht="13" x14ac:dyDescent="0.6">
      <c r="A485" s="120"/>
      <c r="B485" s="120"/>
      <c r="C485" s="121"/>
      <c r="D485" s="121"/>
      <c r="E485" s="121"/>
      <c r="F485" s="120"/>
      <c r="G485" s="121"/>
      <c r="H485" s="133"/>
    </row>
    <row r="486" spans="1:8" ht="13" x14ac:dyDescent="0.6">
      <c r="A486" s="120"/>
      <c r="B486" s="120"/>
      <c r="C486" s="121"/>
      <c r="D486" s="121"/>
      <c r="E486" s="121"/>
      <c r="F486" s="120"/>
      <c r="G486" s="121"/>
      <c r="H486" s="133"/>
    </row>
    <row r="487" spans="1:8" ht="13" x14ac:dyDescent="0.6">
      <c r="A487" s="120"/>
      <c r="B487" s="120"/>
      <c r="C487" s="121"/>
      <c r="D487" s="121"/>
      <c r="E487" s="121"/>
      <c r="F487" s="120"/>
      <c r="G487" s="121"/>
      <c r="H487" s="133"/>
    </row>
    <row r="488" spans="1:8" ht="13" x14ac:dyDescent="0.6">
      <c r="A488" s="120"/>
      <c r="B488" s="120"/>
      <c r="C488" s="121"/>
      <c r="D488" s="121"/>
      <c r="E488" s="121"/>
      <c r="F488" s="120"/>
      <c r="G488" s="121"/>
      <c r="H488" s="133"/>
    </row>
    <row r="489" spans="1:8" ht="13" x14ac:dyDescent="0.6">
      <c r="A489" s="120"/>
      <c r="B489" s="120"/>
      <c r="C489" s="121"/>
      <c r="D489" s="121"/>
      <c r="E489" s="121"/>
      <c r="F489" s="120"/>
      <c r="G489" s="121"/>
      <c r="H489" s="133"/>
    </row>
    <row r="490" spans="1:8" ht="13" x14ac:dyDescent="0.6">
      <c r="A490" s="120"/>
      <c r="B490" s="120"/>
      <c r="C490" s="121"/>
      <c r="D490" s="121"/>
      <c r="E490" s="121"/>
      <c r="F490" s="120"/>
      <c r="G490" s="121"/>
      <c r="H490" s="133"/>
    </row>
    <row r="491" spans="1:8" ht="13" x14ac:dyDescent="0.6">
      <c r="A491" s="120"/>
      <c r="B491" s="120"/>
      <c r="C491" s="121"/>
      <c r="D491" s="121"/>
      <c r="E491" s="121"/>
      <c r="F491" s="120"/>
      <c r="G491" s="121"/>
      <c r="H491" s="133"/>
    </row>
    <row r="492" spans="1:8" ht="13" x14ac:dyDescent="0.6">
      <c r="A492" s="120"/>
      <c r="B492" s="120"/>
      <c r="C492" s="121"/>
      <c r="D492" s="121"/>
      <c r="E492" s="121"/>
      <c r="F492" s="120"/>
      <c r="G492" s="121"/>
      <c r="H492" s="133"/>
    </row>
    <row r="493" spans="1:8" ht="13" x14ac:dyDescent="0.6">
      <c r="A493" s="120"/>
      <c r="B493" s="120"/>
      <c r="C493" s="121"/>
      <c r="D493" s="121"/>
      <c r="E493" s="121"/>
      <c r="F493" s="120"/>
      <c r="G493" s="121"/>
      <c r="H493" s="133"/>
    </row>
    <row r="494" spans="1:8" ht="13" x14ac:dyDescent="0.6">
      <c r="A494" s="120"/>
      <c r="B494" s="120"/>
      <c r="C494" s="121"/>
      <c r="D494" s="121"/>
      <c r="E494" s="121"/>
      <c r="F494" s="120"/>
      <c r="G494" s="121"/>
      <c r="H494" s="133"/>
    </row>
    <row r="495" spans="1:8" ht="13" x14ac:dyDescent="0.6">
      <c r="A495" s="120"/>
      <c r="B495" s="120"/>
      <c r="C495" s="121"/>
      <c r="D495" s="121"/>
      <c r="E495" s="121"/>
      <c r="F495" s="120"/>
      <c r="G495" s="121"/>
      <c r="H495" s="133"/>
    </row>
    <row r="496" spans="1:8" ht="13" x14ac:dyDescent="0.6">
      <c r="A496" s="120"/>
      <c r="B496" s="120"/>
      <c r="C496" s="121"/>
      <c r="D496" s="121"/>
      <c r="E496" s="121"/>
      <c r="F496" s="120"/>
      <c r="G496" s="121"/>
      <c r="H496" s="133"/>
    </row>
    <row r="497" spans="1:8" ht="13" x14ac:dyDescent="0.6">
      <c r="A497" s="120"/>
      <c r="B497" s="120"/>
      <c r="C497" s="121"/>
      <c r="D497" s="121"/>
      <c r="E497" s="121"/>
      <c r="F497" s="120"/>
      <c r="G497" s="121"/>
      <c r="H497" s="133"/>
    </row>
    <row r="498" spans="1:8" ht="13" x14ac:dyDescent="0.6">
      <c r="A498" s="120"/>
      <c r="B498" s="120"/>
      <c r="C498" s="121"/>
      <c r="D498" s="121"/>
      <c r="E498" s="121"/>
      <c r="F498" s="120"/>
      <c r="G498" s="121"/>
      <c r="H498" s="133"/>
    </row>
    <row r="499" spans="1:8" ht="13" x14ac:dyDescent="0.6">
      <c r="A499" s="120"/>
      <c r="B499" s="120"/>
      <c r="C499" s="121"/>
      <c r="D499" s="121"/>
      <c r="E499" s="121"/>
      <c r="F499" s="120"/>
      <c r="G499" s="121"/>
      <c r="H499" s="133"/>
    </row>
    <row r="500" spans="1:8" ht="13" x14ac:dyDescent="0.6">
      <c r="A500" s="120"/>
      <c r="B500" s="120"/>
      <c r="C500" s="121"/>
      <c r="D500" s="121"/>
      <c r="E500" s="121"/>
      <c r="F500" s="120"/>
      <c r="G500" s="121"/>
      <c r="H500" s="133"/>
    </row>
    <row r="501" spans="1:8" ht="13" x14ac:dyDescent="0.6">
      <c r="A501" s="120"/>
      <c r="B501" s="120"/>
      <c r="C501" s="121"/>
      <c r="D501" s="121"/>
      <c r="E501" s="121"/>
      <c r="F501" s="120"/>
      <c r="G501" s="121"/>
      <c r="H501" s="133"/>
    </row>
    <row r="502" spans="1:8" ht="13" x14ac:dyDescent="0.6">
      <c r="A502" s="120"/>
      <c r="B502" s="120"/>
      <c r="C502" s="121"/>
      <c r="D502" s="121"/>
      <c r="E502" s="121"/>
      <c r="F502" s="120"/>
      <c r="G502" s="121"/>
      <c r="H502" s="133"/>
    </row>
    <row r="503" spans="1:8" ht="13" x14ac:dyDescent="0.6">
      <c r="A503" s="120"/>
      <c r="B503" s="120"/>
      <c r="C503" s="121"/>
      <c r="D503" s="121"/>
      <c r="E503" s="121"/>
      <c r="F503" s="120"/>
      <c r="G503" s="121"/>
      <c r="H503" s="133"/>
    </row>
    <row r="504" spans="1:8" ht="13" x14ac:dyDescent="0.6">
      <c r="A504" s="120"/>
      <c r="B504" s="120"/>
      <c r="C504" s="121"/>
      <c r="D504" s="121"/>
      <c r="E504" s="121"/>
      <c r="F504" s="120"/>
      <c r="G504" s="121"/>
      <c r="H504" s="133"/>
    </row>
    <row r="505" spans="1:8" ht="13" x14ac:dyDescent="0.6">
      <c r="A505" s="120"/>
      <c r="B505" s="120"/>
      <c r="C505" s="121"/>
      <c r="D505" s="121"/>
      <c r="E505" s="121"/>
      <c r="F505" s="120"/>
      <c r="G505" s="121"/>
      <c r="H505" s="133"/>
    </row>
    <row r="506" spans="1:8" ht="13" x14ac:dyDescent="0.6">
      <c r="A506" s="120"/>
      <c r="B506" s="120"/>
      <c r="C506" s="121"/>
      <c r="D506" s="121"/>
      <c r="E506" s="121"/>
      <c r="F506" s="120"/>
      <c r="G506" s="121"/>
      <c r="H506" s="133"/>
    </row>
    <row r="507" spans="1:8" ht="13" x14ac:dyDescent="0.6">
      <c r="A507" s="120"/>
      <c r="B507" s="120"/>
      <c r="C507" s="121"/>
      <c r="D507" s="121"/>
      <c r="E507" s="121"/>
      <c r="F507" s="120"/>
      <c r="G507" s="121"/>
      <c r="H507" s="133"/>
    </row>
    <row r="508" spans="1:8" ht="13" x14ac:dyDescent="0.6">
      <c r="A508" s="120"/>
      <c r="B508" s="120"/>
      <c r="C508" s="121"/>
      <c r="D508" s="121"/>
      <c r="E508" s="121"/>
      <c r="F508" s="120"/>
      <c r="G508" s="121"/>
      <c r="H508" s="133"/>
    </row>
    <row r="509" spans="1:8" ht="13" x14ac:dyDescent="0.6">
      <c r="A509" s="120"/>
      <c r="B509" s="120"/>
      <c r="C509" s="121"/>
      <c r="D509" s="121"/>
      <c r="E509" s="121"/>
      <c r="F509" s="120"/>
      <c r="G509" s="121"/>
      <c r="H509" s="133"/>
    </row>
    <row r="510" spans="1:8" ht="13" x14ac:dyDescent="0.6">
      <c r="A510" s="120"/>
      <c r="B510" s="120"/>
      <c r="C510" s="121"/>
      <c r="D510" s="121"/>
      <c r="E510" s="121"/>
      <c r="F510" s="120"/>
      <c r="G510" s="121"/>
      <c r="H510" s="133"/>
    </row>
    <row r="511" spans="1:8" ht="13" x14ac:dyDescent="0.6">
      <c r="A511" s="120"/>
      <c r="B511" s="120"/>
      <c r="C511" s="121"/>
      <c r="D511" s="121"/>
      <c r="E511" s="121"/>
      <c r="F511" s="120"/>
      <c r="G511" s="121"/>
      <c r="H511" s="133"/>
    </row>
    <row r="512" spans="1:8" ht="13" x14ac:dyDescent="0.6">
      <c r="A512" s="120"/>
      <c r="B512" s="120"/>
      <c r="C512" s="121"/>
      <c r="D512" s="121"/>
      <c r="E512" s="121"/>
      <c r="F512" s="120"/>
      <c r="G512" s="121"/>
      <c r="H512" s="133"/>
    </row>
    <row r="513" spans="1:8" ht="13" x14ac:dyDescent="0.6">
      <c r="A513" s="120"/>
      <c r="B513" s="120"/>
      <c r="C513" s="121"/>
      <c r="D513" s="121"/>
      <c r="E513" s="121"/>
      <c r="F513" s="120"/>
      <c r="G513" s="121"/>
      <c r="H513" s="133"/>
    </row>
    <row r="514" spans="1:8" ht="13" x14ac:dyDescent="0.6">
      <c r="A514" s="120"/>
      <c r="B514" s="120"/>
      <c r="C514" s="121"/>
      <c r="D514" s="121"/>
      <c r="E514" s="121"/>
      <c r="F514" s="120"/>
      <c r="G514" s="121"/>
      <c r="H514" s="133"/>
    </row>
    <row r="515" spans="1:8" ht="13" x14ac:dyDescent="0.6">
      <c r="A515" s="120"/>
      <c r="B515" s="120"/>
      <c r="C515" s="121"/>
      <c r="D515" s="121"/>
      <c r="E515" s="121"/>
      <c r="F515" s="120"/>
      <c r="G515" s="121"/>
      <c r="H515" s="133"/>
    </row>
    <row r="516" spans="1:8" ht="13" x14ac:dyDescent="0.6">
      <c r="A516" s="120"/>
      <c r="B516" s="120"/>
      <c r="C516" s="121"/>
      <c r="D516" s="121"/>
      <c r="E516" s="121"/>
      <c r="F516" s="120"/>
      <c r="G516" s="121"/>
      <c r="H516" s="133"/>
    </row>
    <row r="517" spans="1:8" ht="13" x14ac:dyDescent="0.6">
      <c r="A517" s="120"/>
      <c r="B517" s="120"/>
      <c r="C517" s="121"/>
      <c r="D517" s="121"/>
      <c r="E517" s="121"/>
      <c r="F517" s="120"/>
      <c r="G517" s="121"/>
      <c r="H517" s="133"/>
    </row>
    <row r="518" spans="1:8" ht="13" x14ac:dyDescent="0.6">
      <c r="A518" s="120"/>
      <c r="B518" s="120"/>
      <c r="C518" s="121"/>
      <c r="D518" s="121"/>
      <c r="E518" s="121"/>
      <c r="F518" s="120"/>
      <c r="G518" s="121"/>
      <c r="H518" s="133"/>
    </row>
    <row r="519" spans="1:8" ht="13" x14ac:dyDescent="0.6">
      <c r="A519" s="120"/>
      <c r="B519" s="120"/>
      <c r="C519" s="121"/>
      <c r="D519" s="121"/>
      <c r="E519" s="121"/>
      <c r="F519" s="120"/>
      <c r="G519" s="121"/>
      <c r="H519" s="133"/>
    </row>
    <row r="520" spans="1:8" ht="13" x14ac:dyDescent="0.6">
      <c r="A520" s="120"/>
      <c r="B520" s="120"/>
      <c r="C520" s="121"/>
      <c r="D520" s="121"/>
      <c r="E520" s="121"/>
      <c r="F520" s="120"/>
      <c r="G520" s="121"/>
      <c r="H520" s="133"/>
    </row>
    <row r="521" spans="1:8" ht="13" x14ac:dyDescent="0.6">
      <c r="A521" s="120"/>
      <c r="B521" s="120"/>
      <c r="C521" s="121"/>
      <c r="D521" s="121"/>
      <c r="E521" s="121"/>
      <c r="F521" s="120"/>
      <c r="G521" s="121"/>
      <c r="H521" s="133"/>
    </row>
    <row r="522" spans="1:8" ht="13" x14ac:dyDescent="0.6">
      <c r="A522" s="120"/>
      <c r="B522" s="120"/>
      <c r="C522" s="121"/>
      <c r="D522" s="121"/>
      <c r="E522" s="121"/>
      <c r="F522" s="120"/>
      <c r="G522" s="121"/>
      <c r="H522" s="133"/>
    </row>
    <row r="523" spans="1:8" ht="13" x14ac:dyDescent="0.6">
      <c r="A523" s="120"/>
      <c r="B523" s="120"/>
      <c r="C523" s="121"/>
      <c r="D523" s="121"/>
      <c r="E523" s="121"/>
      <c r="F523" s="120"/>
      <c r="G523" s="121"/>
      <c r="H523" s="133"/>
    </row>
    <row r="524" spans="1:8" ht="13" x14ac:dyDescent="0.6">
      <c r="A524" s="120"/>
      <c r="B524" s="120"/>
      <c r="C524" s="121"/>
      <c r="D524" s="121"/>
      <c r="E524" s="121"/>
      <c r="F524" s="120"/>
      <c r="G524" s="121"/>
      <c r="H524" s="133"/>
    </row>
    <row r="525" spans="1:8" ht="13" x14ac:dyDescent="0.6">
      <c r="A525" s="120"/>
      <c r="B525" s="120"/>
      <c r="C525" s="121"/>
      <c r="D525" s="121"/>
      <c r="E525" s="121"/>
      <c r="F525" s="120"/>
      <c r="G525" s="121"/>
      <c r="H525" s="133"/>
    </row>
    <row r="526" spans="1:8" ht="13" x14ac:dyDescent="0.6">
      <c r="A526" s="120"/>
      <c r="B526" s="120"/>
      <c r="C526" s="121"/>
      <c r="D526" s="121"/>
      <c r="E526" s="121"/>
      <c r="F526" s="120"/>
      <c r="G526" s="121"/>
      <c r="H526" s="133"/>
    </row>
    <row r="527" spans="1:8" ht="13" x14ac:dyDescent="0.6">
      <c r="A527" s="120"/>
      <c r="B527" s="120"/>
      <c r="C527" s="121"/>
      <c r="D527" s="121"/>
      <c r="E527" s="121"/>
      <c r="F527" s="120"/>
      <c r="G527" s="121"/>
      <c r="H527" s="133"/>
    </row>
    <row r="528" spans="1:8" ht="13" x14ac:dyDescent="0.6">
      <c r="A528" s="120"/>
      <c r="B528" s="120"/>
      <c r="C528" s="121"/>
      <c r="D528" s="121"/>
      <c r="E528" s="121"/>
      <c r="F528" s="120"/>
      <c r="G528" s="121"/>
      <c r="H528" s="133"/>
    </row>
    <row r="529" spans="1:8" ht="13" x14ac:dyDescent="0.6">
      <c r="A529" s="120"/>
      <c r="B529" s="120"/>
      <c r="C529" s="121"/>
      <c r="D529" s="121"/>
      <c r="E529" s="121"/>
      <c r="F529" s="120"/>
      <c r="G529" s="121"/>
      <c r="H529" s="133"/>
    </row>
    <row r="530" spans="1:8" ht="13" x14ac:dyDescent="0.6">
      <c r="A530" s="120"/>
      <c r="B530" s="120"/>
      <c r="C530" s="121"/>
      <c r="D530" s="121"/>
      <c r="E530" s="121"/>
      <c r="F530" s="120"/>
      <c r="G530" s="121"/>
      <c r="H530" s="133"/>
    </row>
    <row r="531" spans="1:8" ht="13" x14ac:dyDescent="0.6">
      <c r="A531" s="120"/>
      <c r="B531" s="120"/>
      <c r="C531" s="121"/>
      <c r="D531" s="121"/>
      <c r="E531" s="121"/>
      <c r="F531" s="120"/>
      <c r="G531" s="121"/>
      <c r="H531" s="133"/>
    </row>
    <row r="532" spans="1:8" ht="13" x14ac:dyDescent="0.6">
      <c r="A532" s="120"/>
      <c r="B532" s="120"/>
      <c r="C532" s="121"/>
      <c r="D532" s="121"/>
      <c r="E532" s="121"/>
      <c r="F532" s="120"/>
      <c r="G532" s="121"/>
      <c r="H532" s="133"/>
    </row>
    <row r="533" spans="1:8" ht="13" x14ac:dyDescent="0.6">
      <c r="A533" s="120"/>
      <c r="B533" s="120"/>
      <c r="C533" s="121"/>
      <c r="D533" s="121"/>
      <c r="E533" s="121"/>
      <c r="F533" s="120"/>
      <c r="G533" s="121"/>
      <c r="H533" s="133"/>
    </row>
    <row r="534" spans="1:8" ht="13" x14ac:dyDescent="0.6">
      <c r="A534" s="120"/>
      <c r="B534" s="120"/>
      <c r="C534" s="121"/>
      <c r="D534" s="121"/>
      <c r="E534" s="121"/>
      <c r="F534" s="120"/>
      <c r="G534" s="121"/>
      <c r="H534" s="133"/>
    </row>
    <row r="535" spans="1:8" ht="13" x14ac:dyDescent="0.6">
      <c r="A535" s="120"/>
      <c r="B535" s="120"/>
      <c r="C535" s="121"/>
      <c r="D535" s="121"/>
      <c r="E535" s="121"/>
      <c r="F535" s="120"/>
      <c r="G535" s="121"/>
      <c r="H535" s="133"/>
    </row>
    <row r="536" spans="1:8" ht="13" x14ac:dyDescent="0.6">
      <c r="A536" s="120"/>
      <c r="B536" s="120"/>
      <c r="C536" s="121"/>
      <c r="D536" s="121"/>
      <c r="E536" s="121"/>
      <c r="F536" s="120"/>
      <c r="G536" s="121"/>
      <c r="H536" s="133"/>
    </row>
    <row r="537" spans="1:8" ht="13" x14ac:dyDescent="0.6">
      <c r="A537" s="120"/>
      <c r="B537" s="120"/>
      <c r="C537" s="121"/>
      <c r="D537" s="121"/>
      <c r="E537" s="121"/>
      <c r="F537" s="120"/>
      <c r="G537" s="121"/>
      <c r="H537" s="133"/>
    </row>
    <row r="538" spans="1:8" ht="13" x14ac:dyDescent="0.6">
      <c r="A538" s="120"/>
      <c r="B538" s="120"/>
      <c r="C538" s="121"/>
      <c r="D538" s="121"/>
      <c r="E538" s="121"/>
      <c r="F538" s="120"/>
      <c r="G538" s="121"/>
      <c r="H538" s="133"/>
    </row>
    <row r="539" spans="1:8" ht="13" x14ac:dyDescent="0.6">
      <c r="A539" s="120"/>
      <c r="B539" s="120"/>
      <c r="C539" s="121"/>
      <c r="D539" s="121"/>
      <c r="E539" s="121"/>
      <c r="F539" s="120"/>
      <c r="G539" s="121"/>
      <c r="H539" s="133"/>
    </row>
    <row r="540" spans="1:8" ht="13" x14ac:dyDescent="0.6">
      <c r="A540" s="120"/>
      <c r="B540" s="120"/>
      <c r="C540" s="121"/>
      <c r="D540" s="121"/>
      <c r="E540" s="121"/>
      <c r="F540" s="120"/>
      <c r="G540" s="121"/>
      <c r="H540" s="133"/>
    </row>
    <row r="541" spans="1:8" ht="13" x14ac:dyDescent="0.6">
      <c r="A541" s="120"/>
      <c r="B541" s="120"/>
      <c r="C541" s="121"/>
      <c r="D541" s="121"/>
      <c r="E541" s="121"/>
      <c r="F541" s="120"/>
      <c r="G541" s="121"/>
      <c r="H541" s="133"/>
    </row>
    <row r="542" spans="1:8" ht="13" x14ac:dyDescent="0.6">
      <c r="A542" s="120"/>
      <c r="B542" s="120"/>
      <c r="C542" s="121"/>
      <c r="D542" s="121"/>
      <c r="E542" s="121"/>
      <c r="F542" s="120"/>
      <c r="G542" s="121"/>
      <c r="H542" s="133"/>
    </row>
    <row r="543" spans="1:8" ht="13" x14ac:dyDescent="0.6">
      <c r="A543" s="120"/>
      <c r="B543" s="120"/>
      <c r="C543" s="121"/>
      <c r="D543" s="121"/>
      <c r="E543" s="121"/>
      <c r="F543" s="120"/>
      <c r="G543" s="121"/>
      <c r="H543" s="133"/>
    </row>
    <row r="544" spans="1:8" ht="13" x14ac:dyDescent="0.6">
      <c r="A544" s="120"/>
      <c r="B544" s="120"/>
      <c r="C544" s="121"/>
      <c r="D544" s="121"/>
      <c r="E544" s="121"/>
      <c r="F544" s="120"/>
      <c r="G544" s="121"/>
      <c r="H544" s="133"/>
    </row>
    <row r="545" spans="1:8" ht="13" x14ac:dyDescent="0.6">
      <c r="A545" s="120"/>
      <c r="B545" s="120"/>
      <c r="C545" s="121"/>
      <c r="D545" s="121"/>
      <c r="E545" s="121"/>
      <c r="F545" s="120"/>
      <c r="G545" s="121"/>
      <c r="H545" s="133"/>
    </row>
    <row r="546" spans="1:8" ht="13" x14ac:dyDescent="0.6">
      <c r="A546" s="120"/>
      <c r="B546" s="120"/>
      <c r="C546" s="121"/>
      <c r="D546" s="121"/>
      <c r="E546" s="121"/>
      <c r="F546" s="120"/>
      <c r="G546" s="121"/>
      <c r="H546" s="133"/>
    </row>
    <row r="547" spans="1:8" ht="13" x14ac:dyDescent="0.6">
      <c r="A547" s="120"/>
      <c r="B547" s="120"/>
      <c r="C547" s="121"/>
      <c r="D547" s="121"/>
      <c r="E547" s="121"/>
      <c r="F547" s="120"/>
      <c r="G547" s="121"/>
      <c r="H547" s="133"/>
    </row>
    <row r="548" spans="1:8" ht="13" x14ac:dyDescent="0.6">
      <c r="A548" s="120"/>
      <c r="B548" s="120"/>
      <c r="C548" s="121"/>
      <c r="D548" s="121"/>
      <c r="E548" s="121"/>
      <c r="F548" s="120"/>
      <c r="G548" s="121"/>
      <c r="H548" s="133"/>
    </row>
    <row r="549" spans="1:8" ht="13" x14ac:dyDescent="0.6">
      <c r="A549" s="120"/>
      <c r="B549" s="120"/>
      <c r="C549" s="121"/>
      <c r="D549" s="121"/>
      <c r="E549" s="121"/>
      <c r="F549" s="120"/>
      <c r="G549" s="121"/>
      <c r="H549" s="133"/>
    </row>
    <row r="550" spans="1:8" ht="13" x14ac:dyDescent="0.6">
      <c r="A550" s="120"/>
      <c r="B550" s="120"/>
      <c r="C550" s="121"/>
      <c r="D550" s="121"/>
      <c r="E550" s="121"/>
      <c r="F550" s="120"/>
      <c r="G550" s="121"/>
      <c r="H550" s="133"/>
    </row>
    <row r="551" spans="1:8" ht="13" x14ac:dyDescent="0.6">
      <c r="A551" s="120"/>
      <c r="B551" s="120"/>
      <c r="C551" s="121"/>
      <c r="D551" s="121"/>
      <c r="E551" s="121"/>
      <c r="F551" s="120"/>
      <c r="G551" s="121"/>
      <c r="H551" s="133"/>
    </row>
    <row r="552" spans="1:8" ht="13" x14ac:dyDescent="0.6">
      <c r="A552" s="120"/>
      <c r="B552" s="120"/>
      <c r="C552" s="121"/>
      <c r="D552" s="121"/>
      <c r="E552" s="121"/>
      <c r="F552" s="120"/>
      <c r="G552" s="121"/>
      <c r="H552" s="133"/>
    </row>
    <row r="553" spans="1:8" ht="13" x14ac:dyDescent="0.6">
      <c r="A553" s="120"/>
      <c r="B553" s="120"/>
      <c r="C553" s="121"/>
      <c r="D553" s="121"/>
      <c r="E553" s="121"/>
      <c r="F553" s="120"/>
      <c r="G553" s="121"/>
      <c r="H553" s="133"/>
    </row>
    <row r="554" spans="1:8" ht="13" x14ac:dyDescent="0.6">
      <c r="A554" s="120"/>
      <c r="B554" s="120"/>
      <c r="C554" s="121"/>
      <c r="D554" s="121"/>
      <c r="E554" s="121"/>
      <c r="F554" s="120"/>
      <c r="G554" s="121"/>
      <c r="H554" s="133"/>
    </row>
    <row r="555" spans="1:8" ht="13" x14ac:dyDescent="0.6">
      <c r="A555" s="120"/>
      <c r="B555" s="120"/>
      <c r="C555" s="121"/>
      <c r="D555" s="121"/>
      <c r="E555" s="121"/>
      <c r="F555" s="120"/>
      <c r="G555" s="121"/>
      <c r="H555" s="133"/>
    </row>
    <row r="556" spans="1:8" ht="13" x14ac:dyDescent="0.6">
      <c r="A556" s="120"/>
      <c r="B556" s="120"/>
      <c r="C556" s="121"/>
      <c r="D556" s="121"/>
      <c r="E556" s="121"/>
      <c r="F556" s="120"/>
      <c r="G556" s="121"/>
      <c r="H556" s="133"/>
    </row>
    <row r="557" spans="1:8" ht="13" x14ac:dyDescent="0.6">
      <c r="A557" s="120"/>
      <c r="B557" s="120"/>
      <c r="C557" s="121"/>
      <c r="D557" s="121"/>
      <c r="E557" s="121"/>
      <c r="F557" s="120"/>
      <c r="G557" s="121"/>
      <c r="H557" s="133"/>
    </row>
    <row r="558" spans="1:8" ht="13" x14ac:dyDescent="0.6">
      <c r="A558" s="120"/>
      <c r="B558" s="120"/>
      <c r="C558" s="121"/>
      <c r="D558" s="121"/>
      <c r="E558" s="121"/>
      <c r="F558" s="120"/>
      <c r="G558" s="121"/>
      <c r="H558" s="133"/>
    </row>
    <row r="559" spans="1:8" ht="13" x14ac:dyDescent="0.6">
      <c r="A559" s="120"/>
      <c r="B559" s="120"/>
      <c r="C559" s="121"/>
      <c r="D559" s="121"/>
      <c r="E559" s="121"/>
      <c r="F559" s="120"/>
      <c r="G559" s="121"/>
      <c r="H559" s="133"/>
    </row>
    <row r="560" spans="1:8" ht="13" x14ac:dyDescent="0.6">
      <c r="A560" s="120"/>
      <c r="B560" s="120"/>
      <c r="C560" s="121"/>
      <c r="D560" s="121"/>
      <c r="E560" s="121"/>
      <c r="F560" s="120"/>
      <c r="G560" s="121"/>
      <c r="H560" s="133"/>
    </row>
    <row r="561" spans="1:8" ht="13" x14ac:dyDescent="0.6">
      <c r="A561" s="120"/>
      <c r="B561" s="120"/>
      <c r="C561" s="121"/>
      <c r="D561" s="121"/>
      <c r="E561" s="121"/>
      <c r="F561" s="120"/>
      <c r="G561" s="121"/>
      <c r="H561" s="133"/>
    </row>
    <row r="562" spans="1:8" ht="13" x14ac:dyDescent="0.6">
      <c r="A562" s="120"/>
      <c r="B562" s="120"/>
      <c r="C562" s="121"/>
      <c r="D562" s="121"/>
      <c r="E562" s="121"/>
      <c r="F562" s="120"/>
      <c r="G562" s="121"/>
      <c r="H562" s="133"/>
    </row>
    <row r="563" spans="1:8" ht="13" x14ac:dyDescent="0.6">
      <c r="A563" s="120"/>
      <c r="B563" s="120"/>
      <c r="C563" s="121"/>
      <c r="D563" s="121"/>
      <c r="E563" s="121"/>
      <c r="F563" s="120"/>
      <c r="G563" s="121"/>
      <c r="H563" s="133"/>
    </row>
    <row r="564" spans="1:8" ht="13" x14ac:dyDescent="0.6">
      <c r="A564" s="120"/>
      <c r="B564" s="120"/>
      <c r="C564" s="121"/>
      <c r="D564" s="121"/>
      <c r="E564" s="121"/>
      <c r="F564" s="120"/>
      <c r="G564" s="121"/>
      <c r="H564" s="133"/>
    </row>
    <row r="565" spans="1:8" ht="13" x14ac:dyDescent="0.6">
      <c r="A565" s="120"/>
      <c r="B565" s="120"/>
      <c r="C565" s="121"/>
      <c r="D565" s="121"/>
      <c r="E565" s="121"/>
      <c r="F565" s="120"/>
      <c r="G565" s="121"/>
      <c r="H565" s="133"/>
    </row>
    <row r="566" spans="1:8" ht="13" x14ac:dyDescent="0.6">
      <c r="A566" s="120"/>
      <c r="B566" s="120"/>
      <c r="C566" s="121"/>
      <c r="D566" s="121"/>
      <c r="E566" s="121"/>
      <c r="F566" s="120"/>
      <c r="G566" s="121"/>
      <c r="H566" s="133"/>
    </row>
    <row r="567" spans="1:8" ht="13" x14ac:dyDescent="0.6">
      <c r="A567" s="120"/>
      <c r="B567" s="120"/>
      <c r="C567" s="121"/>
      <c r="D567" s="121"/>
      <c r="E567" s="121"/>
      <c r="F567" s="120"/>
      <c r="G567" s="121"/>
      <c r="H567" s="133"/>
    </row>
    <row r="568" spans="1:8" ht="13" x14ac:dyDescent="0.6">
      <c r="A568" s="120"/>
      <c r="B568" s="120"/>
      <c r="C568" s="121"/>
      <c r="D568" s="121"/>
      <c r="E568" s="121"/>
      <c r="F568" s="120"/>
      <c r="G568" s="121"/>
      <c r="H568" s="133"/>
    </row>
    <row r="569" spans="1:8" ht="13" x14ac:dyDescent="0.6">
      <c r="A569" s="120"/>
      <c r="B569" s="120"/>
      <c r="C569" s="121"/>
      <c r="D569" s="121"/>
      <c r="E569" s="121"/>
      <c r="F569" s="120"/>
      <c r="G569" s="121"/>
      <c r="H569" s="133"/>
    </row>
    <row r="570" spans="1:8" ht="13" x14ac:dyDescent="0.6">
      <c r="A570" s="120"/>
      <c r="B570" s="120"/>
      <c r="C570" s="121"/>
      <c r="D570" s="121"/>
      <c r="E570" s="121"/>
      <c r="F570" s="120"/>
      <c r="G570" s="121"/>
      <c r="H570" s="133"/>
    </row>
    <row r="571" spans="1:8" ht="13" x14ac:dyDescent="0.6">
      <c r="A571" s="120"/>
      <c r="B571" s="120"/>
      <c r="C571" s="121"/>
      <c r="D571" s="121"/>
      <c r="E571" s="121"/>
      <c r="F571" s="120"/>
      <c r="G571" s="121"/>
      <c r="H571" s="133"/>
    </row>
    <row r="572" spans="1:8" ht="13" x14ac:dyDescent="0.6">
      <c r="A572" s="120"/>
      <c r="B572" s="120"/>
      <c r="C572" s="121"/>
      <c r="D572" s="121"/>
      <c r="E572" s="121"/>
      <c r="F572" s="120"/>
      <c r="G572" s="121"/>
      <c r="H572" s="133"/>
    </row>
    <row r="573" spans="1:8" ht="13" x14ac:dyDescent="0.6">
      <c r="A573" s="120"/>
      <c r="B573" s="120"/>
      <c r="C573" s="121"/>
      <c r="D573" s="121"/>
      <c r="E573" s="121"/>
      <c r="F573" s="120"/>
      <c r="G573" s="121"/>
      <c r="H573" s="133"/>
    </row>
    <row r="574" spans="1:8" ht="13" x14ac:dyDescent="0.6">
      <c r="A574" s="120"/>
      <c r="B574" s="120"/>
      <c r="C574" s="121"/>
      <c r="D574" s="121"/>
      <c r="E574" s="121"/>
      <c r="F574" s="120"/>
      <c r="G574" s="121"/>
      <c r="H574" s="133"/>
    </row>
    <row r="575" spans="1:8" ht="13" x14ac:dyDescent="0.6">
      <c r="A575" s="120"/>
      <c r="B575" s="120"/>
      <c r="C575" s="121"/>
      <c r="D575" s="121"/>
      <c r="E575" s="121"/>
      <c r="F575" s="120"/>
      <c r="G575" s="121"/>
      <c r="H575" s="133"/>
    </row>
    <row r="576" spans="1:8" ht="13" x14ac:dyDescent="0.6">
      <c r="A576" s="120"/>
      <c r="B576" s="120"/>
      <c r="C576" s="121"/>
      <c r="D576" s="121"/>
      <c r="E576" s="121"/>
      <c r="F576" s="120"/>
      <c r="G576" s="121"/>
      <c r="H576" s="133"/>
    </row>
    <row r="577" spans="1:8" ht="13" x14ac:dyDescent="0.6">
      <c r="A577" s="120"/>
      <c r="B577" s="120"/>
      <c r="C577" s="121"/>
      <c r="D577" s="121"/>
      <c r="E577" s="121"/>
      <c r="F577" s="120"/>
      <c r="G577" s="121"/>
      <c r="H577" s="133"/>
    </row>
    <row r="578" spans="1:8" ht="13" x14ac:dyDescent="0.6">
      <c r="A578" s="120"/>
      <c r="B578" s="120"/>
      <c r="C578" s="121"/>
      <c r="D578" s="121"/>
      <c r="E578" s="121"/>
      <c r="F578" s="120"/>
      <c r="G578" s="121"/>
      <c r="H578" s="133"/>
    </row>
    <row r="579" spans="1:8" ht="13" x14ac:dyDescent="0.6">
      <c r="A579" s="120"/>
      <c r="B579" s="120"/>
      <c r="C579" s="121"/>
      <c r="D579" s="121"/>
      <c r="E579" s="121"/>
      <c r="F579" s="120"/>
      <c r="G579" s="121"/>
      <c r="H579" s="133"/>
    </row>
    <row r="580" spans="1:8" ht="13" x14ac:dyDescent="0.6">
      <c r="A580" s="120"/>
      <c r="B580" s="120"/>
      <c r="C580" s="121"/>
      <c r="D580" s="121"/>
      <c r="E580" s="121"/>
      <c r="F580" s="120"/>
      <c r="G580" s="121"/>
      <c r="H580" s="133"/>
    </row>
    <row r="581" spans="1:8" ht="13" x14ac:dyDescent="0.6">
      <c r="A581" s="120"/>
      <c r="B581" s="120"/>
      <c r="C581" s="121"/>
      <c r="D581" s="121"/>
      <c r="E581" s="121"/>
      <c r="F581" s="120"/>
      <c r="G581" s="121"/>
      <c r="H581" s="133"/>
    </row>
    <row r="582" spans="1:8" ht="13" x14ac:dyDescent="0.6">
      <c r="A582" s="120"/>
      <c r="B582" s="120"/>
      <c r="C582" s="121"/>
      <c r="D582" s="121"/>
      <c r="E582" s="121"/>
      <c r="F582" s="120"/>
      <c r="G582" s="121"/>
      <c r="H582" s="133"/>
    </row>
    <row r="583" spans="1:8" ht="13" x14ac:dyDescent="0.6">
      <c r="A583" s="120"/>
      <c r="B583" s="120"/>
      <c r="C583" s="121"/>
      <c r="D583" s="121"/>
      <c r="E583" s="121"/>
      <c r="F583" s="120"/>
      <c r="G583" s="121"/>
      <c r="H583" s="133"/>
    </row>
    <row r="584" spans="1:8" ht="13" x14ac:dyDescent="0.6">
      <c r="A584" s="120"/>
      <c r="B584" s="120"/>
      <c r="C584" s="121"/>
      <c r="D584" s="121"/>
      <c r="E584" s="121"/>
      <c r="F584" s="120"/>
      <c r="G584" s="121"/>
      <c r="H584" s="133"/>
    </row>
    <row r="585" spans="1:8" ht="13" x14ac:dyDescent="0.6">
      <c r="A585" s="120"/>
      <c r="B585" s="120"/>
      <c r="C585" s="121"/>
      <c r="D585" s="121"/>
      <c r="E585" s="121"/>
      <c r="F585" s="120"/>
      <c r="G585" s="121"/>
      <c r="H585" s="133"/>
    </row>
    <row r="586" spans="1:8" ht="13" x14ac:dyDescent="0.6">
      <c r="A586" s="120"/>
      <c r="B586" s="120"/>
      <c r="C586" s="121"/>
      <c r="D586" s="121"/>
      <c r="E586" s="121"/>
      <c r="F586" s="120"/>
      <c r="G586" s="121"/>
      <c r="H586" s="133"/>
    </row>
    <row r="587" spans="1:8" ht="13" x14ac:dyDescent="0.6">
      <c r="A587" s="120"/>
      <c r="B587" s="120"/>
      <c r="C587" s="121"/>
      <c r="D587" s="121"/>
      <c r="E587" s="121"/>
      <c r="F587" s="120"/>
      <c r="G587" s="121"/>
      <c r="H587" s="133"/>
    </row>
    <row r="588" spans="1:8" ht="13" x14ac:dyDescent="0.6">
      <c r="A588" s="120"/>
      <c r="B588" s="120"/>
      <c r="C588" s="121"/>
      <c r="D588" s="121"/>
      <c r="E588" s="121"/>
      <c r="F588" s="120"/>
      <c r="G588" s="121"/>
      <c r="H588" s="133"/>
    </row>
    <row r="589" spans="1:8" ht="13" x14ac:dyDescent="0.6">
      <c r="A589" s="120"/>
      <c r="B589" s="120"/>
      <c r="C589" s="121"/>
      <c r="D589" s="121"/>
      <c r="E589" s="121"/>
      <c r="F589" s="120"/>
      <c r="G589" s="121"/>
      <c r="H589" s="133"/>
    </row>
    <row r="590" spans="1:8" ht="13" x14ac:dyDescent="0.6">
      <c r="A590" s="120"/>
      <c r="B590" s="120"/>
      <c r="C590" s="121"/>
      <c r="D590" s="121"/>
      <c r="E590" s="121"/>
      <c r="F590" s="120"/>
      <c r="G590" s="121"/>
      <c r="H590" s="133"/>
    </row>
    <row r="591" spans="1:8" ht="13" x14ac:dyDescent="0.6">
      <c r="A591" s="120"/>
      <c r="B591" s="120"/>
      <c r="C591" s="121"/>
      <c r="D591" s="121"/>
      <c r="E591" s="121"/>
      <c r="F591" s="120"/>
      <c r="G591" s="121"/>
      <c r="H591" s="133"/>
    </row>
    <row r="592" spans="1:8" ht="13" x14ac:dyDescent="0.6">
      <c r="A592" s="120"/>
      <c r="B592" s="120"/>
      <c r="C592" s="121"/>
      <c r="D592" s="121"/>
      <c r="E592" s="121"/>
      <c r="F592" s="120"/>
      <c r="G592" s="121"/>
      <c r="H592" s="133"/>
    </row>
    <row r="593" spans="1:8" ht="13" x14ac:dyDescent="0.6">
      <c r="A593" s="120"/>
      <c r="B593" s="120"/>
      <c r="C593" s="121"/>
      <c r="D593" s="121"/>
      <c r="E593" s="121"/>
      <c r="F593" s="120"/>
      <c r="G593" s="121"/>
      <c r="H593" s="133"/>
    </row>
    <row r="594" spans="1:8" ht="13" x14ac:dyDescent="0.6">
      <c r="A594" s="120"/>
      <c r="B594" s="120"/>
      <c r="C594" s="121"/>
      <c r="D594" s="121"/>
      <c r="E594" s="121"/>
      <c r="F594" s="120"/>
      <c r="G594" s="121"/>
      <c r="H594" s="133"/>
    </row>
    <row r="595" spans="1:8" ht="13" x14ac:dyDescent="0.6">
      <c r="A595" s="120"/>
      <c r="B595" s="120"/>
      <c r="C595" s="121"/>
      <c r="D595" s="121"/>
      <c r="E595" s="121"/>
      <c r="F595" s="120"/>
      <c r="G595" s="121"/>
      <c r="H595" s="133"/>
    </row>
    <row r="596" spans="1:8" ht="13" x14ac:dyDescent="0.6">
      <c r="A596" s="120"/>
      <c r="B596" s="120"/>
      <c r="C596" s="121"/>
      <c r="D596" s="121"/>
      <c r="E596" s="121"/>
      <c r="F596" s="120"/>
      <c r="G596" s="121"/>
      <c r="H596" s="133"/>
    </row>
    <row r="597" spans="1:8" ht="13" x14ac:dyDescent="0.6">
      <c r="A597" s="120"/>
      <c r="B597" s="120"/>
      <c r="C597" s="121"/>
      <c r="D597" s="121"/>
      <c r="E597" s="121"/>
      <c r="F597" s="120"/>
      <c r="G597" s="121"/>
      <c r="H597" s="133"/>
    </row>
    <row r="598" spans="1:8" ht="13" x14ac:dyDescent="0.6">
      <c r="A598" s="120"/>
      <c r="B598" s="120"/>
      <c r="C598" s="121"/>
      <c r="D598" s="121"/>
      <c r="E598" s="121"/>
      <c r="F598" s="120"/>
      <c r="G598" s="121"/>
      <c r="H598" s="133"/>
    </row>
    <row r="599" spans="1:8" ht="13" x14ac:dyDescent="0.6">
      <c r="A599" s="120"/>
      <c r="B599" s="120"/>
      <c r="C599" s="121"/>
      <c r="D599" s="121"/>
      <c r="E599" s="121"/>
      <c r="F599" s="120"/>
      <c r="G599" s="121"/>
      <c r="H599" s="133"/>
    </row>
    <row r="600" spans="1:8" ht="13" x14ac:dyDescent="0.6">
      <c r="A600" s="120"/>
      <c r="B600" s="120"/>
      <c r="C600" s="121"/>
      <c r="D600" s="121"/>
      <c r="E600" s="121"/>
      <c r="F600" s="120"/>
      <c r="G600" s="121"/>
      <c r="H600" s="133"/>
    </row>
    <row r="601" spans="1:8" ht="13" x14ac:dyDescent="0.6">
      <c r="A601" s="120"/>
      <c r="B601" s="120"/>
      <c r="C601" s="121"/>
      <c r="D601" s="121"/>
      <c r="E601" s="121"/>
      <c r="F601" s="120"/>
      <c r="G601" s="121"/>
      <c r="H601" s="133"/>
    </row>
    <row r="602" spans="1:8" ht="13" x14ac:dyDescent="0.6">
      <c r="A602" s="120"/>
      <c r="B602" s="120"/>
      <c r="C602" s="121"/>
      <c r="D602" s="121"/>
      <c r="E602" s="121"/>
      <c r="F602" s="120"/>
      <c r="G602" s="121"/>
      <c r="H602" s="133"/>
    </row>
    <row r="603" spans="1:8" ht="13" x14ac:dyDescent="0.6">
      <c r="A603" s="120"/>
      <c r="B603" s="120"/>
      <c r="C603" s="121"/>
      <c r="D603" s="121"/>
      <c r="E603" s="121"/>
      <c r="F603" s="120"/>
      <c r="G603" s="121"/>
      <c r="H603" s="133"/>
    </row>
    <row r="604" spans="1:8" ht="13" x14ac:dyDescent="0.6">
      <c r="A604" s="120"/>
      <c r="B604" s="120"/>
      <c r="C604" s="121"/>
      <c r="D604" s="121"/>
      <c r="E604" s="121"/>
      <c r="F604" s="120"/>
      <c r="G604" s="121"/>
      <c r="H604" s="133"/>
    </row>
    <row r="605" spans="1:8" ht="13" x14ac:dyDescent="0.6">
      <c r="A605" s="120"/>
      <c r="B605" s="120"/>
      <c r="C605" s="121"/>
      <c r="D605" s="121"/>
      <c r="E605" s="121"/>
      <c r="F605" s="120"/>
      <c r="G605" s="121"/>
      <c r="H605" s="133"/>
    </row>
    <row r="606" spans="1:8" ht="13" x14ac:dyDescent="0.6">
      <c r="A606" s="120"/>
      <c r="B606" s="120"/>
      <c r="C606" s="121"/>
      <c r="D606" s="121"/>
      <c r="E606" s="121"/>
      <c r="F606" s="120"/>
      <c r="G606" s="121"/>
      <c r="H606" s="133"/>
    </row>
    <row r="607" spans="1:8" ht="13" x14ac:dyDescent="0.6">
      <c r="A607" s="120"/>
      <c r="B607" s="120"/>
      <c r="C607" s="121"/>
      <c r="D607" s="121"/>
      <c r="E607" s="121"/>
      <c r="F607" s="120"/>
      <c r="G607" s="121"/>
      <c r="H607" s="133"/>
    </row>
    <row r="608" spans="1:8" ht="13" x14ac:dyDescent="0.6">
      <c r="A608" s="120"/>
      <c r="B608" s="120"/>
      <c r="C608" s="121"/>
      <c r="D608" s="121"/>
      <c r="E608" s="121"/>
      <c r="F608" s="120"/>
      <c r="G608" s="121"/>
      <c r="H608" s="133"/>
    </row>
    <row r="609" spans="1:8" ht="13" x14ac:dyDescent="0.6">
      <c r="A609" s="120"/>
      <c r="B609" s="120"/>
      <c r="C609" s="121"/>
      <c r="D609" s="121"/>
      <c r="E609" s="121"/>
      <c r="F609" s="120"/>
      <c r="G609" s="121"/>
      <c r="H609" s="133"/>
    </row>
    <row r="610" spans="1:8" ht="13" x14ac:dyDescent="0.6">
      <c r="A610" s="120"/>
      <c r="B610" s="120"/>
      <c r="C610" s="121"/>
      <c r="D610" s="121"/>
      <c r="E610" s="121"/>
      <c r="F610" s="120"/>
      <c r="G610" s="121"/>
      <c r="H610" s="133"/>
    </row>
    <row r="611" spans="1:8" ht="13" x14ac:dyDescent="0.6">
      <c r="A611" s="120"/>
      <c r="B611" s="120"/>
      <c r="C611" s="121"/>
      <c r="D611" s="121"/>
      <c r="E611" s="121"/>
      <c r="F611" s="120"/>
      <c r="G611" s="121"/>
      <c r="H611" s="133"/>
    </row>
    <row r="612" spans="1:8" ht="13" x14ac:dyDescent="0.6">
      <c r="A612" s="120"/>
      <c r="B612" s="120"/>
      <c r="C612" s="121"/>
      <c r="D612" s="121"/>
      <c r="E612" s="121"/>
      <c r="F612" s="120"/>
      <c r="G612" s="121"/>
      <c r="H612" s="133"/>
    </row>
    <row r="613" spans="1:8" ht="13" x14ac:dyDescent="0.6">
      <c r="A613" s="120"/>
      <c r="B613" s="120"/>
      <c r="C613" s="121"/>
      <c r="D613" s="121"/>
      <c r="E613" s="121"/>
      <c r="F613" s="120"/>
      <c r="G613" s="121"/>
      <c r="H613" s="133"/>
    </row>
    <row r="614" spans="1:8" ht="13" x14ac:dyDescent="0.6">
      <c r="A614" s="120"/>
      <c r="B614" s="120"/>
      <c r="C614" s="121"/>
      <c r="D614" s="121"/>
      <c r="E614" s="121"/>
      <c r="F614" s="120"/>
      <c r="G614" s="121"/>
      <c r="H614" s="133"/>
    </row>
    <row r="615" spans="1:8" ht="13" x14ac:dyDescent="0.6">
      <c r="A615" s="120"/>
      <c r="B615" s="120"/>
      <c r="C615" s="121"/>
      <c r="D615" s="121"/>
      <c r="E615" s="121"/>
      <c r="F615" s="120"/>
      <c r="G615" s="121"/>
      <c r="H615" s="133"/>
    </row>
    <row r="616" spans="1:8" ht="13" x14ac:dyDescent="0.6">
      <c r="A616" s="120"/>
      <c r="B616" s="120"/>
      <c r="C616" s="121"/>
      <c r="D616" s="121"/>
      <c r="E616" s="121"/>
      <c r="F616" s="120"/>
      <c r="G616" s="121"/>
      <c r="H616" s="133"/>
    </row>
    <row r="617" spans="1:8" ht="13" x14ac:dyDescent="0.6">
      <c r="A617" s="120"/>
      <c r="B617" s="120"/>
      <c r="C617" s="121"/>
      <c r="D617" s="121"/>
      <c r="E617" s="121"/>
      <c r="F617" s="120"/>
      <c r="G617" s="121"/>
      <c r="H617" s="133"/>
    </row>
    <row r="618" spans="1:8" ht="13" x14ac:dyDescent="0.6">
      <c r="A618" s="120"/>
      <c r="B618" s="120"/>
      <c r="C618" s="121"/>
      <c r="D618" s="121"/>
      <c r="E618" s="121"/>
      <c r="F618" s="120"/>
      <c r="G618" s="121"/>
      <c r="H618" s="133"/>
    </row>
    <row r="619" spans="1:8" ht="13" x14ac:dyDescent="0.6">
      <c r="A619" s="120"/>
      <c r="B619" s="120"/>
      <c r="C619" s="121"/>
      <c r="D619" s="121"/>
      <c r="E619" s="121"/>
      <c r="F619" s="120"/>
      <c r="G619" s="121"/>
      <c r="H619" s="133"/>
    </row>
    <row r="620" spans="1:8" ht="13" x14ac:dyDescent="0.6">
      <c r="A620" s="120"/>
      <c r="B620" s="120"/>
      <c r="C620" s="121"/>
      <c r="D620" s="121"/>
      <c r="E620" s="121"/>
      <c r="F620" s="120"/>
      <c r="G620" s="121"/>
      <c r="H620" s="133"/>
    </row>
    <row r="621" spans="1:8" ht="13" x14ac:dyDescent="0.6">
      <c r="A621" s="120"/>
      <c r="B621" s="120"/>
      <c r="C621" s="121"/>
      <c r="D621" s="121"/>
      <c r="E621" s="121"/>
      <c r="F621" s="120"/>
      <c r="G621" s="121"/>
      <c r="H621" s="133"/>
    </row>
    <row r="622" spans="1:8" ht="13" x14ac:dyDescent="0.6">
      <c r="A622" s="120"/>
      <c r="B622" s="120"/>
      <c r="C622" s="121"/>
      <c r="D622" s="121"/>
      <c r="E622" s="121"/>
      <c r="F622" s="120"/>
      <c r="G622" s="121"/>
      <c r="H622" s="133"/>
    </row>
    <row r="623" spans="1:8" ht="13" x14ac:dyDescent="0.6">
      <c r="A623" s="120"/>
      <c r="B623" s="120"/>
      <c r="C623" s="121"/>
      <c r="D623" s="121"/>
      <c r="E623" s="121"/>
      <c r="F623" s="120"/>
      <c r="G623" s="121"/>
      <c r="H623" s="133"/>
    </row>
    <row r="624" spans="1:8" ht="13" x14ac:dyDescent="0.6">
      <c r="A624" s="120"/>
      <c r="B624" s="120"/>
      <c r="C624" s="121"/>
      <c r="D624" s="121"/>
      <c r="E624" s="121"/>
      <c r="F624" s="120"/>
      <c r="G624" s="121"/>
      <c r="H624" s="133"/>
    </row>
    <row r="625" spans="1:8" ht="13" x14ac:dyDescent="0.6">
      <c r="A625" s="120"/>
      <c r="B625" s="120"/>
      <c r="C625" s="121"/>
      <c r="D625" s="121"/>
      <c r="E625" s="121"/>
      <c r="F625" s="120"/>
      <c r="G625" s="121"/>
      <c r="H625" s="133"/>
    </row>
    <row r="626" spans="1:8" ht="13" x14ac:dyDescent="0.6">
      <c r="A626" s="120"/>
      <c r="B626" s="120"/>
      <c r="C626" s="121"/>
      <c r="D626" s="121"/>
      <c r="E626" s="121"/>
      <c r="F626" s="120"/>
      <c r="G626" s="121"/>
      <c r="H626" s="133"/>
    </row>
    <row r="627" spans="1:8" ht="13" x14ac:dyDescent="0.6">
      <c r="A627" s="120"/>
      <c r="B627" s="120"/>
      <c r="C627" s="121"/>
      <c r="D627" s="121"/>
      <c r="E627" s="121"/>
      <c r="F627" s="120"/>
      <c r="G627" s="121"/>
      <c r="H627" s="133"/>
    </row>
    <row r="628" spans="1:8" ht="13" x14ac:dyDescent="0.6">
      <c r="A628" s="120"/>
      <c r="B628" s="120"/>
      <c r="C628" s="121"/>
      <c r="D628" s="121"/>
      <c r="E628" s="121"/>
      <c r="F628" s="120"/>
      <c r="G628" s="121"/>
      <c r="H628" s="133"/>
    </row>
    <row r="629" spans="1:8" ht="13" x14ac:dyDescent="0.6">
      <c r="A629" s="120"/>
      <c r="B629" s="120"/>
      <c r="C629" s="121"/>
      <c r="D629" s="121"/>
      <c r="E629" s="121"/>
      <c r="F629" s="120"/>
      <c r="G629" s="121"/>
      <c r="H629" s="133"/>
    </row>
    <row r="630" spans="1:8" ht="13" x14ac:dyDescent="0.6">
      <c r="A630" s="120"/>
      <c r="B630" s="120"/>
      <c r="C630" s="121"/>
      <c r="D630" s="121"/>
      <c r="E630" s="121"/>
      <c r="F630" s="120"/>
      <c r="G630" s="121"/>
      <c r="H630" s="133"/>
    </row>
    <row r="631" spans="1:8" ht="13" x14ac:dyDescent="0.6">
      <c r="A631" s="120"/>
      <c r="B631" s="120"/>
      <c r="C631" s="121"/>
      <c r="D631" s="121"/>
      <c r="E631" s="121"/>
      <c r="F631" s="120"/>
      <c r="G631" s="121"/>
      <c r="H631" s="133"/>
    </row>
    <row r="632" spans="1:8" ht="13" x14ac:dyDescent="0.6">
      <c r="A632" s="120"/>
      <c r="B632" s="120"/>
      <c r="C632" s="121"/>
      <c r="D632" s="121"/>
      <c r="E632" s="121"/>
      <c r="F632" s="120"/>
      <c r="G632" s="121"/>
      <c r="H632" s="133"/>
    </row>
    <row r="633" spans="1:8" ht="13" x14ac:dyDescent="0.6">
      <c r="A633" s="120"/>
      <c r="B633" s="120"/>
      <c r="C633" s="121"/>
      <c r="D633" s="121"/>
      <c r="E633" s="121"/>
      <c r="F633" s="120"/>
      <c r="G633" s="121"/>
      <c r="H633" s="133"/>
    </row>
    <row r="634" spans="1:8" ht="13" x14ac:dyDescent="0.6">
      <c r="A634" s="120"/>
      <c r="B634" s="120"/>
      <c r="C634" s="121"/>
      <c r="D634" s="121"/>
      <c r="E634" s="121"/>
      <c r="F634" s="120"/>
      <c r="G634" s="121"/>
      <c r="H634" s="133"/>
    </row>
    <row r="635" spans="1:8" ht="13" x14ac:dyDescent="0.6">
      <c r="A635" s="120"/>
      <c r="B635" s="120"/>
      <c r="C635" s="121"/>
      <c r="D635" s="121"/>
      <c r="E635" s="121"/>
      <c r="F635" s="120"/>
      <c r="G635" s="121"/>
      <c r="H635" s="133"/>
    </row>
    <row r="636" spans="1:8" ht="13" x14ac:dyDescent="0.6">
      <c r="A636" s="120"/>
      <c r="B636" s="120"/>
      <c r="C636" s="121"/>
      <c r="D636" s="121"/>
      <c r="E636" s="121"/>
      <c r="F636" s="120"/>
      <c r="G636" s="121"/>
      <c r="H636" s="133"/>
    </row>
    <row r="637" spans="1:8" ht="13" x14ac:dyDescent="0.6">
      <c r="A637" s="120"/>
      <c r="B637" s="120"/>
      <c r="C637" s="121"/>
      <c r="D637" s="121"/>
      <c r="E637" s="121"/>
      <c r="F637" s="120"/>
      <c r="G637" s="121"/>
      <c r="H637" s="133"/>
    </row>
    <row r="638" spans="1:8" ht="13" x14ac:dyDescent="0.6">
      <c r="A638" s="120"/>
      <c r="B638" s="120"/>
      <c r="C638" s="121"/>
      <c r="D638" s="121"/>
      <c r="E638" s="121"/>
      <c r="F638" s="120"/>
      <c r="G638" s="121"/>
      <c r="H638" s="133"/>
    </row>
    <row r="639" spans="1:8" ht="13" x14ac:dyDescent="0.6">
      <c r="A639" s="120"/>
      <c r="B639" s="120"/>
      <c r="C639" s="121"/>
      <c r="D639" s="121"/>
      <c r="E639" s="121"/>
      <c r="F639" s="120"/>
      <c r="G639" s="121"/>
      <c r="H639" s="133"/>
    </row>
    <row r="640" spans="1:8" ht="13" x14ac:dyDescent="0.6">
      <c r="A640" s="120"/>
      <c r="B640" s="120"/>
      <c r="C640" s="121"/>
      <c r="D640" s="121"/>
      <c r="E640" s="121"/>
      <c r="F640" s="120"/>
      <c r="G640" s="121"/>
      <c r="H640" s="133"/>
    </row>
    <row r="641" spans="1:8" ht="13" x14ac:dyDescent="0.6">
      <c r="A641" s="120"/>
      <c r="B641" s="120"/>
      <c r="C641" s="121"/>
      <c r="D641" s="121"/>
      <c r="E641" s="121"/>
      <c r="F641" s="120"/>
      <c r="G641" s="121"/>
      <c r="H641" s="133"/>
    </row>
    <row r="642" spans="1:8" ht="13" x14ac:dyDescent="0.6">
      <c r="A642" s="120"/>
      <c r="B642" s="120"/>
      <c r="C642" s="121"/>
      <c r="D642" s="121"/>
      <c r="E642" s="121"/>
      <c r="F642" s="120"/>
      <c r="G642" s="121"/>
      <c r="H642" s="133"/>
    </row>
    <row r="643" spans="1:8" ht="13" x14ac:dyDescent="0.6">
      <c r="A643" s="120"/>
      <c r="B643" s="120"/>
      <c r="C643" s="121"/>
      <c r="D643" s="121"/>
      <c r="E643" s="121"/>
      <c r="F643" s="120"/>
      <c r="G643" s="121"/>
      <c r="H643" s="133"/>
    </row>
    <row r="644" spans="1:8" ht="13" x14ac:dyDescent="0.6">
      <c r="A644" s="120"/>
      <c r="B644" s="120"/>
      <c r="C644" s="121"/>
      <c r="D644" s="121"/>
      <c r="E644" s="121"/>
      <c r="F644" s="120"/>
      <c r="G644" s="121"/>
      <c r="H644" s="133"/>
    </row>
    <row r="645" spans="1:8" ht="13" x14ac:dyDescent="0.6">
      <c r="A645" s="120"/>
      <c r="B645" s="120"/>
      <c r="C645" s="121"/>
      <c r="D645" s="121"/>
      <c r="E645" s="121"/>
      <c r="F645" s="120"/>
      <c r="G645" s="121"/>
      <c r="H645" s="133"/>
    </row>
    <row r="646" spans="1:8" ht="13" x14ac:dyDescent="0.6">
      <c r="A646" s="120"/>
      <c r="B646" s="120"/>
      <c r="C646" s="121"/>
      <c r="D646" s="121"/>
      <c r="E646" s="121"/>
      <c r="F646" s="120"/>
      <c r="G646" s="121"/>
      <c r="H646" s="133"/>
    </row>
    <row r="647" spans="1:8" ht="13" x14ac:dyDescent="0.6">
      <c r="A647" s="120"/>
      <c r="B647" s="120"/>
      <c r="C647" s="121"/>
      <c r="D647" s="121"/>
      <c r="E647" s="121"/>
      <c r="F647" s="120"/>
      <c r="G647" s="121"/>
      <c r="H647" s="133"/>
    </row>
    <row r="648" spans="1:8" ht="13" x14ac:dyDescent="0.6">
      <c r="A648" s="120"/>
      <c r="B648" s="120"/>
      <c r="C648" s="121"/>
      <c r="D648" s="121"/>
      <c r="E648" s="121"/>
      <c r="F648" s="120"/>
      <c r="G648" s="121"/>
      <c r="H648" s="133"/>
    </row>
    <row r="649" spans="1:8" ht="13" x14ac:dyDescent="0.6">
      <c r="A649" s="120"/>
      <c r="B649" s="120"/>
      <c r="C649" s="121"/>
      <c r="D649" s="121"/>
      <c r="E649" s="121"/>
      <c r="F649" s="120"/>
      <c r="G649" s="121"/>
      <c r="H649" s="133"/>
    </row>
    <row r="650" spans="1:8" ht="13" x14ac:dyDescent="0.6">
      <c r="A650" s="120"/>
      <c r="B650" s="120"/>
      <c r="C650" s="121"/>
      <c r="D650" s="121"/>
      <c r="E650" s="121"/>
      <c r="F650" s="120"/>
      <c r="G650" s="121"/>
      <c r="H650" s="133"/>
    </row>
    <row r="651" spans="1:8" ht="13" x14ac:dyDescent="0.6">
      <c r="A651" s="120"/>
      <c r="B651" s="120"/>
      <c r="C651" s="121"/>
      <c r="D651" s="121"/>
      <c r="E651" s="121"/>
      <c r="F651" s="120"/>
      <c r="G651" s="121"/>
      <c r="H651" s="133"/>
    </row>
    <row r="652" spans="1:8" ht="13" x14ac:dyDescent="0.6">
      <c r="A652" s="120"/>
      <c r="B652" s="120"/>
      <c r="C652" s="121"/>
      <c r="D652" s="121"/>
      <c r="E652" s="121"/>
      <c r="F652" s="120"/>
      <c r="G652" s="121"/>
      <c r="H652" s="133"/>
    </row>
    <row r="653" spans="1:8" ht="13" x14ac:dyDescent="0.6">
      <c r="A653" s="120"/>
      <c r="B653" s="120"/>
      <c r="C653" s="121"/>
      <c r="D653" s="121"/>
      <c r="E653" s="121"/>
      <c r="F653" s="120"/>
      <c r="G653" s="121"/>
      <c r="H653" s="133"/>
    </row>
    <row r="654" spans="1:8" ht="13" x14ac:dyDescent="0.6">
      <c r="A654" s="120"/>
      <c r="B654" s="120"/>
      <c r="C654" s="121"/>
      <c r="D654" s="121"/>
      <c r="E654" s="121"/>
      <c r="F654" s="120"/>
      <c r="G654" s="121"/>
      <c r="H654" s="133"/>
    </row>
    <row r="655" spans="1:8" ht="13" x14ac:dyDescent="0.6">
      <c r="A655" s="120"/>
      <c r="B655" s="120"/>
      <c r="C655" s="121"/>
      <c r="D655" s="121"/>
      <c r="E655" s="121"/>
      <c r="F655" s="120"/>
      <c r="G655" s="121"/>
      <c r="H655" s="133"/>
    </row>
    <row r="656" spans="1:8" ht="13" x14ac:dyDescent="0.6">
      <c r="A656" s="120"/>
      <c r="B656" s="120"/>
      <c r="C656" s="121"/>
      <c r="D656" s="121"/>
      <c r="E656" s="121"/>
      <c r="F656" s="120"/>
      <c r="G656" s="121"/>
      <c r="H656" s="133"/>
    </row>
    <row r="657" spans="1:8" ht="13" x14ac:dyDescent="0.6">
      <c r="A657" s="120"/>
      <c r="B657" s="120"/>
      <c r="C657" s="121"/>
      <c r="D657" s="121"/>
      <c r="E657" s="121"/>
      <c r="F657" s="120"/>
      <c r="G657" s="121"/>
      <c r="H657" s="133"/>
    </row>
    <row r="658" spans="1:8" ht="13" x14ac:dyDescent="0.6">
      <c r="A658" s="120"/>
      <c r="B658" s="120"/>
      <c r="C658" s="121"/>
      <c r="D658" s="121"/>
      <c r="E658" s="121"/>
      <c r="F658" s="120"/>
      <c r="G658" s="121"/>
      <c r="H658" s="133"/>
    </row>
    <row r="659" spans="1:8" ht="13" x14ac:dyDescent="0.6">
      <c r="A659" s="120"/>
      <c r="B659" s="120"/>
      <c r="C659" s="121"/>
      <c r="D659" s="121"/>
      <c r="E659" s="121"/>
      <c r="F659" s="120"/>
      <c r="G659" s="121"/>
      <c r="H659" s="133"/>
    </row>
    <row r="660" spans="1:8" ht="13" x14ac:dyDescent="0.6">
      <c r="A660" s="120"/>
      <c r="B660" s="120"/>
      <c r="C660" s="121"/>
      <c r="D660" s="121"/>
      <c r="E660" s="121"/>
      <c r="F660" s="120"/>
      <c r="G660" s="121"/>
      <c r="H660" s="133"/>
    </row>
    <row r="661" spans="1:8" ht="13" x14ac:dyDescent="0.6">
      <c r="A661" s="120"/>
      <c r="B661" s="120"/>
      <c r="C661" s="121"/>
      <c r="D661" s="121"/>
      <c r="E661" s="121"/>
      <c r="F661" s="120"/>
      <c r="G661" s="121"/>
      <c r="H661" s="133"/>
    </row>
    <row r="662" spans="1:8" ht="13" x14ac:dyDescent="0.6">
      <c r="A662" s="120"/>
      <c r="B662" s="120"/>
      <c r="C662" s="121"/>
      <c r="D662" s="121"/>
      <c r="E662" s="121"/>
      <c r="F662" s="120"/>
      <c r="G662" s="121"/>
      <c r="H662" s="133"/>
    </row>
    <row r="663" spans="1:8" ht="13" x14ac:dyDescent="0.6">
      <c r="A663" s="120"/>
      <c r="B663" s="120"/>
      <c r="C663" s="121"/>
      <c r="D663" s="121"/>
      <c r="E663" s="121"/>
      <c r="F663" s="120"/>
      <c r="G663" s="121"/>
      <c r="H663" s="133"/>
    </row>
    <row r="664" spans="1:8" ht="13" x14ac:dyDescent="0.6">
      <c r="A664" s="120"/>
      <c r="B664" s="120"/>
      <c r="C664" s="121"/>
      <c r="D664" s="121"/>
      <c r="E664" s="121"/>
      <c r="F664" s="120"/>
      <c r="G664" s="121"/>
      <c r="H664" s="133"/>
    </row>
    <row r="665" spans="1:8" ht="13" x14ac:dyDescent="0.6">
      <c r="A665" s="120"/>
      <c r="B665" s="120"/>
      <c r="C665" s="121"/>
      <c r="D665" s="121"/>
      <c r="E665" s="121"/>
      <c r="F665" s="120"/>
      <c r="G665" s="121"/>
      <c r="H665" s="133"/>
    </row>
    <row r="666" spans="1:8" ht="13" x14ac:dyDescent="0.6">
      <c r="A666" s="120"/>
      <c r="B666" s="120"/>
      <c r="C666" s="121"/>
      <c r="D666" s="121"/>
      <c r="E666" s="121"/>
      <c r="F666" s="120"/>
      <c r="G666" s="121"/>
      <c r="H666" s="133"/>
    </row>
    <row r="667" spans="1:8" ht="13" x14ac:dyDescent="0.6">
      <c r="A667" s="120"/>
      <c r="B667" s="120"/>
      <c r="C667" s="121"/>
      <c r="D667" s="121"/>
      <c r="E667" s="121"/>
      <c r="F667" s="120"/>
      <c r="G667" s="121"/>
      <c r="H667" s="133"/>
    </row>
    <row r="668" spans="1:8" ht="13" x14ac:dyDescent="0.6">
      <c r="A668" s="120"/>
      <c r="B668" s="120"/>
      <c r="C668" s="121"/>
      <c r="D668" s="121"/>
      <c r="E668" s="121"/>
      <c r="F668" s="120"/>
      <c r="G668" s="121"/>
      <c r="H668" s="133"/>
    </row>
    <row r="669" spans="1:8" ht="13" x14ac:dyDescent="0.6">
      <c r="A669" s="120"/>
      <c r="B669" s="120"/>
      <c r="C669" s="121"/>
      <c r="D669" s="121"/>
      <c r="E669" s="121"/>
      <c r="F669" s="120"/>
      <c r="G669" s="121"/>
      <c r="H669" s="133"/>
    </row>
    <row r="670" spans="1:8" ht="13" x14ac:dyDescent="0.6">
      <c r="A670" s="120"/>
      <c r="B670" s="120"/>
      <c r="C670" s="121"/>
      <c r="D670" s="121"/>
      <c r="E670" s="121"/>
      <c r="F670" s="120"/>
      <c r="G670" s="121"/>
      <c r="H670" s="133"/>
    </row>
    <row r="671" spans="1:8" ht="13" x14ac:dyDescent="0.6">
      <c r="A671" s="120"/>
      <c r="B671" s="120"/>
      <c r="C671" s="121"/>
      <c r="D671" s="121"/>
      <c r="E671" s="121"/>
      <c r="F671" s="120"/>
      <c r="G671" s="121"/>
      <c r="H671" s="133"/>
    </row>
    <row r="672" spans="1:8" ht="13" x14ac:dyDescent="0.6">
      <c r="A672" s="120"/>
      <c r="B672" s="120"/>
      <c r="C672" s="121"/>
      <c r="D672" s="121"/>
      <c r="E672" s="121"/>
      <c r="F672" s="120"/>
      <c r="G672" s="121"/>
      <c r="H672" s="133"/>
    </row>
    <row r="673" spans="1:8" ht="13" x14ac:dyDescent="0.6">
      <c r="A673" s="120"/>
      <c r="B673" s="120"/>
      <c r="C673" s="121"/>
      <c r="D673" s="121"/>
      <c r="E673" s="121"/>
      <c r="F673" s="120"/>
      <c r="G673" s="121"/>
      <c r="H673" s="133"/>
    </row>
    <row r="674" spans="1:8" ht="13" x14ac:dyDescent="0.6">
      <c r="A674" s="120"/>
      <c r="B674" s="120"/>
      <c r="C674" s="121"/>
      <c r="D674" s="121"/>
      <c r="E674" s="121"/>
      <c r="F674" s="120"/>
      <c r="G674" s="121"/>
      <c r="H674" s="133"/>
    </row>
    <row r="675" spans="1:8" ht="13" x14ac:dyDescent="0.6">
      <c r="A675" s="120"/>
      <c r="B675" s="120"/>
      <c r="C675" s="121"/>
      <c r="D675" s="121"/>
      <c r="E675" s="121"/>
      <c r="F675" s="120"/>
      <c r="G675" s="121"/>
      <c r="H675" s="133"/>
    </row>
    <row r="676" spans="1:8" ht="13" x14ac:dyDescent="0.6">
      <c r="A676" s="120"/>
      <c r="B676" s="120"/>
      <c r="C676" s="121"/>
      <c r="D676" s="121"/>
      <c r="E676" s="121"/>
      <c r="F676" s="120"/>
      <c r="G676" s="121"/>
      <c r="H676" s="133"/>
    </row>
    <row r="677" spans="1:8" ht="13" x14ac:dyDescent="0.6">
      <c r="A677" s="120"/>
      <c r="B677" s="120"/>
      <c r="C677" s="121"/>
      <c r="D677" s="121"/>
      <c r="E677" s="121"/>
      <c r="F677" s="120"/>
      <c r="G677" s="121"/>
      <c r="H677" s="133"/>
    </row>
    <row r="678" spans="1:8" ht="13" x14ac:dyDescent="0.6">
      <c r="A678" s="120"/>
      <c r="B678" s="120"/>
      <c r="C678" s="121"/>
      <c r="D678" s="121"/>
      <c r="E678" s="121"/>
      <c r="F678" s="120"/>
      <c r="G678" s="121"/>
      <c r="H678" s="133"/>
    </row>
    <row r="679" spans="1:8" ht="13" x14ac:dyDescent="0.6">
      <c r="A679" s="120"/>
      <c r="B679" s="120"/>
      <c r="C679" s="121"/>
      <c r="D679" s="121"/>
      <c r="E679" s="121"/>
      <c r="F679" s="120"/>
      <c r="G679" s="121"/>
      <c r="H679" s="133"/>
    </row>
    <row r="680" spans="1:8" ht="13" x14ac:dyDescent="0.6">
      <c r="A680" s="120"/>
      <c r="B680" s="120"/>
      <c r="C680" s="121"/>
      <c r="D680" s="121"/>
      <c r="E680" s="121"/>
      <c r="F680" s="120"/>
      <c r="G680" s="121"/>
      <c r="H680" s="133"/>
    </row>
    <row r="681" spans="1:8" ht="13" x14ac:dyDescent="0.6">
      <c r="A681" s="120"/>
      <c r="B681" s="120"/>
      <c r="C681" s="121"/>
      <c r="D681" s="121"/>
      <c r="E681" s="121"/>
      <c r="F681" s="120"/>
      <c r="G681" s="121"/>
      <c r="H681" s="133"/>
    </row>
    <row r="682" spans="1:8" ht="13" x14ac:dyDescent="0.6">
      <c r="A682" s="120"/>
      <c r="B682" s="120"/>
      <c r="C682" s="121"/>
      <c r="D682" s="121"/>
      <c r="E682" s="121"/>
      <c r="F682" s="120"/>
      <c r="G682" s="121"/>
      <c r="H682" s="133"/>
    </row>
    <row r="683" spans="1:8" ht="13" x14ac:dyDescent="0.6">
      <c r="A683" s="120"/>
      <c r="B683" s="120"/>
      <c r="C683" s="121"/>
      <c r="D683" s="121"/>
      <c r="E683" s="121"/>
      <c r="F683" s="120"/>
      <c r="G683" s="121"/>
      <c r="H683" s="133"/>
    </row>
    <row r="684" spans="1:8" ht="13" x14ac:dyDescent="0.6">
      <c r="A684" s="120"/>
      <c r="B684" s="120"/>
      <c r="C684" s="121"/>
      <c r="D684" s="121"/>
      <c r="E684" s="121"/>
      <c r="F684" s="120"/>
      <c r="G684" s="121"/>
      <c r="H684" s="133"/>
    </row>
    <row r="685" spans="1:8" ht="13" x14ac:dyDescent="0.6">
      <c r="A685" s="120"/>
      <c r="B685" s="120"/>
      <c r="C685" s="121"/>
      <c r="D685" s="121"/>
      <c r="E685" s="121"/>
      <c r="F685" s="120"/>
      <c r="G685" s="121"/>
      <c r="H685" s="133"/>
    </row>
    <row r="686" spans="1:8" ht="13" x14ac:dyDescent="0.6">
      <c r="A686" s="120"/>
      <c r="B686" s="120"/>
      <c r="C686" s="121"/>
      <c r="D686" s="121"/>
      <c r="E686" s="121"/>
      <c r="F686" s="120"/>
      <c r="G686" s="121"/>
      <c r="H686" s="133"/>
    </row>
    <row r="687" spans="1:8" ht="13" x14ac:dyDescent="0.6">
      <c r="A687" s="120"/>
      <c r="B687" s="120"/>
      <c r="C687" s="121"/>
      <c r="D687" s="121"/>
      <c r="E687" s="121"/>
      <c r="F687" s="120"/>
      <c r="G687" s="121"/>
      <c r="H687" s="133"/>
    </row>
    <row r="688" spans="1:8" ht="13" x14ac:dyDescent="0.6">
      <c r="A688" s="120"/>
      <c r="B688" s="120"/>
      <c r="C688" s="121"/>
      <c r="D688" s="121"/>
      <c r="E688" s="121"/>
      <c r="F688" s="120"/>
      <c r="G688" s="121"/>
      <c r="H688" s="133"/>
    </row>
    <row r="689" spans="1:8" ht="13" x14ac:dyDescent="0.6">
      <c r="A689" s="120"/>
      <c r="B689" s="120"/>
      <c r="C689" s="121"/>
      <c r="D689" s="121"/>
      <c r="E689" s="121"/>
      <c r="F689" s="120"/>
      <c r="G689" s="121"/>
      <c r="H689" s="133"/>
    </row>
    <row r="690" spans="1:8" ht="13" x14ac:dyDescent="0.6">
      <c r="A690" s="120"/>
      <c r="B690" s="120"/>
      <c r="C690" s="121"/>
      <c r="D690" s="121"/>
      <c r="E690" s="121"/>
      <c r="F690" s="120"/>
      <c r="G690" s="121"/>
      <c r="H690" s="133"/>
    </row>
    <row r="691" spans="1:8" ht="13" x14ac:dyDescent="0.6">
      <c r="A691" s="120"/>
      <c r="B691" s="120"/>
      <c r="C691" s="121"/>
      <c r="D691" s="121"/>
      <c r="E691" s="121"/>
      <c r="F691" s="120"/>
      <c r="G691" s="121"/>
      <c r="H691" s="133"/>
    </row>
    <row r="692" spans="1:8" ht="13" x14ac:dyDescent="0.6">
      <c r="A692" s="120"/>
      <c r="B692" s="120"/>
      <c r="C692" s="121"/>
      <c r="D692" s="121"/>
      <c r="E692" s="121"/>
      <c r="F692" s="120"/>
      <c r="G692" s="121"/>
      <c r="H692" s="133"/>
    </row>
    <row r="693" spans="1:8" ht="13" x14ac:dyDescent="0.6">
      <c r="A693" s="120"/>
      <c r="B693" s="120"/>
      <c r="C693" s="121"/>
      <c r="D693" s="121"/>
      <c r="E693" s="121"/>
      <c r="F693" s="120"/>
      <c r="G693" s="121"/>
      <c r="H693" s="133"/>
    </row>
    <row r="694" spans="1:8" ht="13" x14ac:dyDescent="0.6">
      <c r="A694" s="120"/>
      <c r="B694" s="120"/>
      <c r="C694" s="121"/>
      <c r="D694" s="121"/>
      <c r="E694" s="121"/>
      <c r="F694" s="120"/>
      <c r="G694" s="121"/>
      <c r="H694" s="133"/>
    </row>
    <row r="695" spans="1:8" ht="13" x14ac:dyDescent="0.6">
      <c r="A695" s="120"/>
      <c r="B695" s="120"/>
      <c r="C695" s="121"/>
      <c r="D695" s="121"/>
      <c r="E695" s="121"/>
      <c r="F695" s="120"/>
      <c r="G695" s="121"/>
      <c r="H695" s="133"/>
    </row>
    <row r="696" spans="1:8" ht="13" x14ac:dyDescent="0.6">
      <c r="A696" s="120"/>
      <c r="B696" s="120"/>
      <c r="C696" s="121"/>
      <c r="D696" s="121"/>
      <c r="E696" s="121"/>
      <c r="F696" s="120"/>
      <c r="G696" s="121"/>
      <c r="H696" s="133"/>
    </row>
    <row r="697" spans="1:8" ht="13" x14ac:dyDescent="0.6">
      <c r="A697" s="120"/>
      <c r="B697" s="120"/>
      <c r="C697" s="121"/>
      <c r="D697" s="121"/>
      <c r="E697" s="121"/>
      <c r="F697" s="120"/>
      <c r="G697" s="121"/>
      <c r="H697" s="133"/>
    </row>
    <row r="698" spans="1:8" ht="13" x14ac:dyDescent="0.6">
      <c r="A698" s="120"/>
      <c r="B698" s="120"/>
      <c r="C698" s="121"/>
      <c r="D698" s="121"/>
      <c r="E698" s="121"/>
      <c r="F698" s="120"/>
      <c r="G698" s="121"/>
      <c r="H698" s="133"/>
    </row>
    <row r="699" spans="1:8" ht="13" x14ac:dyDescent="0.6">
      <c r="A699" s="120"/>
      <c r="B699" s="120"/>
      <c r="C699" s="121"/>
      <c r="D699" s="121"/>
      <c r="E699" s="121"/>
      <c r="F699" s="120"/>
      <c r="G699" s="121"/>
      <c r="H699" s="133"/>
    </row>
    <row r="700" spans="1:8" ht="13" x14ac:dyDescent="0.6">
      <c r="A700" s="120"/>
      <c r="B700" s="120"/>
      <c r="C700" s="121"/>
      <c r="D700" s="121"/>
      <c r="E700" s="121"/>
      <c r="F700" s="120"/>
      <c r="G700" s="121"/>
      <c r="H700" s="133"/>
    </row>
    <row r="701" spans="1:8" ht="13" x14ac:dyDescent="0.6">
      <c r="A701" s="120"/>
      <c r="B701" s="120"/>
      <c r="C701" s="121"/>
      <c r="D701" s="121"/>
      <c r="E701" s="121"/>
      <c r="F701" s="120"/>
      <c r="G701" s="121"/>
      <c r="H701" s="133"/>
    </row>
    <row r="702" spans="1:8" ht="13" x14ac:dyDescent="0.6">
      <c r="A702" s="120"/>
      <c r="B702" s="120"/>
      <c r="C702" s="121"/>
      <c r="D702" s="121"/>
      <c r="E702" s="121"/>
      <c r="F702" s="120"/>
      <c r="G702" s="121"/>
      <c r="H702" s="133"/>
    </row>
    <row r="703" spans="1:8" ht="13" x14ac:dyDescent="0.6">
      <c r="A703" s="120"/>
      <c r="B703" s="120"/>
      <c r="C703" s="121"/>
      <c r="D703" s="121"/>
      <c r="E703" s="121"/>
      <c r="F703" s="120"/>
      <c r="G703" s="121"/>
      <c r="H703" s="133"/>
    </row>
    <row r="704" spans="1:8" ht="13" x14ac:dyDescent="0.6">
      <c r="A704" s="120"/>
      <c r="B704" s="120"/>
      <c r="C704" s="121"/>
      <c r="D704" s="121"/>
      <c r="E704" s="121"/>
      <c r="F704" s="120"/>
      <c r="G704" s="121"/>
      <c r="H704" s="133"/>
    </row>
    <row r="705" spans="1:8" ht="13" x14ac:dyDescent="0.6">
      <c r="A705" s="120"/>
      <c r="B705" s="120"/>
      <c r="C705" s="121"/>
      <c r="D705" s="121"/>
      <c r="E705" s="121"/>
      <c r="F705" s="120"/>
      <c r="G705" s="121"/>
      <c r="H705" s="133"/>
    </row>
    <row r="706" spans="1:8" ht="13" x14ac:dyDescent="0.6">
      <c r="A706" s="120"/>
      <c r="B706" s="120"/>
      <c r="C706" s="121"/>
      <c r="D706" s="121"/>
      <c r="E706" s="121"/>
      <c r="F706" s="120"/>
      <c r="G706" s="121"/>
      <c r="H706" s="133"/>
    </row>
    <row r="707" spans="1:8" ht="13" x14ac:dyDescent="0.6">
      <c r="A707" s="120"/>
      <c r="B707" s="120"/>
      <c r="C707" s="121"/>
      <c r="D707" s="121"/>
      <c r="E707" s="121"/>
      <c r="F707" s="120"/>
      <c r="G707" s="121"/>
      <c r="H707" s="133"/>
    </row>
    <row r="708" spans="1:8" ht="13" x14ac:dyDescent="0.6">
      <c r="A708" s="120"/>
      <c r="B708" s="120"/>
      <c r="C708" s="121"/>
      <c r="D708" s="121"/>
      <c r="E708" s="121"/>
      <c r="F708" s="120"/>
      <c r="G708" s="121"/>
      <c r="H708" s="133"/>
    </row>
    <row r="709" spans="1:8" ht="13" x14ac:dyDescent="0.6">
      <c r="A709" s="120"/>
      <c r="B709" s="120"/>
      <c r="C709" s="121"/>
      <c r="D709" s="121"/>
      <c r="E709" s="121"/>
      <c r="F709" s="120"/>
      <c r="G709" s="121"/>
      <c r="H709" s="133"/>
    </row>
    <row r="710" spans="1:8" ht="13" x14ac:dyDescent="0.6">
      <c r="A710" s="120"/>
      <c r="B710" s="120"/>
      <c r="C710" s="121"/>
      <c r="D710" s="121"/>
      <c r="E710" s="121"/>
      <c r="F710" s="120"/>
      <c r="G710" s="121"/>
      <c r="H710" s="133"/>
    </row>
    <row r="711" spans="1:8" ht="13" x14ac:dyDescent="0.6">
      <c r="A711" s="120"/>
      <c r="B711" s="120"/>
      <c r="C711" s="121"/>
      <c r="D711" s="121"/>
      <c r="E711" s="121"/>
      <c r="F711" s="120"/>
      <c r="G711" s="121"/>
      <c r="H711" s="133"/>
    </row>
    <row r="712" spans="1:8" ht="13" x14ac:dyDescent="0.6">
      <c r="A712" s="120"/>
      <c r="B712" s="120"/>
      <c r="C712" s="121"/>
      <c r="D712" s="121"/>
      <c r="E712" s="121"/>
      <c r="F712" s="120"/>
      <c r="G712" s="121"/>
      <c r="H712" s="133"/>
    </row>
    <row r="713" spans="1:8" ht="13" x14ac:dyDescent="0.6">
      <c r="A713" s="120"/>
      <c r="B713" s="120"/>
      <c r="C713" s="121"/>
      <c r="D713" s="121"/>
      <c r="E713" s="121"/>
      <c r="F713" s="120"/>
      <c r="G713" s="121"/>
      <c r="H713" s="133"/>
    </row>
    <row r="714" spans="1:8" ht="13" x14ac:dyDescent="0.6">
      <c r="A714" s="120"/>
      <c r="B714" s="120"/>
      <c r="C714" s="121"/>
      <c r="D714" s="121"/>
      <c r="E714" s="121"/>
      <c r="F714" s="120"/>
      <c r="G714" s="121"/>
      <c r="H714" s="133"/>
    </row>
    <row r="715" spans="1:8" ht="13" x14ac:dyDescent="0.6">
      <c r="A715" s="120"/>
      <c r="B715" s="120"/>
      <c r="C715" s="121"/>
      <c r="D715" s="121"/>
      <c r="E715" s="121"/>
      <c r="F715" s="120"/>
      <c r="G715" s="121"/>
      <c r="H715" s="133"/>
    </row>
    <row r="716" spans="1:8" ht="13" x14ac:dyDescent="0.6">
      <c r="A716" s="120"/>
      <c r="B716" s="120"/>
      <c r="C716" s="121"/>
      <c r="D716" s="121"/>
      <c r="E716" s="121"/>
      <c r="F716" s="120"/>
      <c r="G716" s="121"/>
      <c r="H716" s="133"/>
    </row>
    <row r="717" spans="1:8" ht="13" x14ac:dyDescent="0.6">
      <c r="A717" s="120"/>
      <c r="B717" s="120"/>
      <c r="C717" s="121"/>
      <c r="D717" s="121"/>
      <c r="E717" s="121"/>
      <c r="F717" s="120"/>
      <c r="G717" s="121"/>
      <c r="H717" s="133"/>
    </row>
    <row r="718" spans="1:8" ht="13" x14ac:dyDescent="0.6">
      <c r="A718" s="120"/>
      <c r="B718" s="120"/>
      <c r="C718" s="121"/>
      <c r="D718" s="121"/>
      <c r="E718" s="121"/>
      <c r="F718" s="120"/>
      <c r="G718" s="121"/>
      <c r="H718" s="133"/>
    </row>
    <row r="719" spans="1:8" ht="13" x14ac:dyDescent="0.6">
      <c r="A719" s="120"/>
      <c r="B719" s="120"/>
      <c r="C719" s="121"/>
      <c r="D719" s="121"/>
      <c r="E719" s="121"/>
      <c r="F719" s="120"/>
      <c r="G719" s="121"/>
      <c r="H719" s="133"/>
    </row>
    <row r="720" spans="1:8" ht="13" x14ac:dyDescent="0.6">
      <c r="A720" s="120"/>
      <c r="B720" s="120"/>
      <c r="C720" s="121"/>
      <c r="D720" s="121"/>
      <c r="E720" s="121"/>
      <c r="F720" s="120"/>
      <c r="G720" s="121"/>
      <c r="H720" s="133"/>
    </row>
    <row r="721" spans="1:8" ht="13" x14ac:dyDescent="0.6">
      <c r="A721" s="120"/>
      <c r="B721" s="120"/>
      <c r="C721" s="121"/>
      <c r="D721" s="121"/>
      <c r="E721" s="121"/>
      <c r="F721" s="120"/>
      <c r="G721" s="121"/>
      <c r="H721" s="133"/>
    </row>
    <row r="722" spans="1:8" ht="13" x14ac:dyDescent="0.6">
      <c r="A722" s="120"/>
      <c r="B722" s="120"/>
      <c r="C722" s="121"/>
      <c r="D722" s="121"/>
      <c r="E722" s="121"/>
      <c r="F722" s="120"/>
      <c r="G722" s="121"/>
      <c r="H722" s="133"/>
    </row>
    <row r="723" spans="1:8" ht="13" x14ac:dyDescent="0.6">
      <c r="A723" s="120"/>
      <c r="B723" s="120"/>
      <c r="C723" s="121"/>
      <c r="D723" s="121"/>
      <c r="E723" s="121"/>
      <c r="F723" s="120"/>
      <c r="G723" s="121"/>
      <c r="H723" s="133"/>
    </row>
    <row r="724" spans="1:8" ht="13" x14ac:dyDescent="0.6">
      <c r="A724" s="120"/>
      <c r="B724" s="120"/>
      <c r="C724" s="121"/>
      <c r="D724" s="121"/>
      <c r="E724" s="121"/>
      <c r="F724" s="120"/>
      <c r="G724" s="121"/>
      <c r="H724" s="133"/>
    </row>
    <row r="725" spans="1:8" ht="13" x14ac:dyDescent="0.6">
      <c r="A725" s="120"/>
      <c r="B725" s="120"/>
      <c r="C725" s="121"/>
      <c r="D725" s="121"/>
      <c r="E725" s="121"/>
      <c r="F725" s="120"/>
      <c r="G725" s="121"/>
      <c r="H725" s="133"/>
    </row>
    <row r="726" spans="1:8" ht="13" x14ac:dyDescent="0.6">
      <c r="A726" s="120"/>
      <c r="B726" s="120"/>
      <c r="C726" s="121"/>
      <c r="D726" s="121"/>
      <c r="E726" s="121"/>
      <c r="F726" s="120"/>
      <c r="G726" s="121"/>
      <c r="H726" s="133"/>
    </row>
    <row r="727" spans="1:8" ht="13" x14ac:dyDescent="0.6">
      <c r="A727" s="120"/>
      <c r="B727" s="120"/>
      <c r="C727" s="121"/>
      <c r="D727" s="121"/>
      <c r="E727" s="121"/>
      <c r="F727" s="120"/>
      <c r="G727" s="121"/>
      <c r="H727" s="133"/>
    </row>
    <row r="728" spans="1:8" ht="13" x14ac:dyDescent="0.6">
      <c r="A728" s="120"/>
      <c r="B728" s="120"/>
      <c r="C728" s="121"/>
      <c r="D728" s="121"/>
      <c r="E728" s="121"/>
      <c r="F728" s="120"/>
      <c r="G728" s="121"/>
      <c r="H728" s="133"/>
    </row>
    <row r="729" spans="1:8" ht="13" x14ac:dyDescent="0.6">
      <c r="A729" s="120"/>
      <c r="B729" s="120"/>
      <c r="C729" s="121"/>
      <c r="D729" s="121"/>
      <c r="E729" s="121"/>
      <c r="F729" s="120"/>
      <c r="G729" s="121"/>
      <c r="H729" s="133"/>
    </row>
    <row r="730" spans="1:8" ht="13" x14ac:dyDescent="0.6">
      <c r="A730" s="120"/>
      <c r="B730" s="120"/>
      <c r="C730" s="121"/>
      <c r="D730" s="121"/>
      <c r="E730" s="121"/>
      <c r="F730" s="120"/>
      <c r="G730" s="121"/>
      <c r="H730" s="133"/>
    </row>
    <row r="731" spans="1:8" ht="13" x14ac:dyDescent="0.6">
      <c r="A731" s="120"/>
      <c r="B731" s="120"/>
      <c r="C731" s="121"/>
      <c r="D731" s="121"/>
      <c r="E731" s="121"/>
      <c r="F731" s="120"/>
      <c r="G731" s="121"/>
      <c r="H731" s="133"/>
    </row>
    <row r="732" spans="1:8" ht="13" x14ac:dyDescent="0.6">
      <c r="A732" s="120"/>
      <c r="B732" s="120"/>
      <c r="C732" s="121"/>
      <c r="D732" s="121"/>
      <c r="E732" s="121"/>
      <c r="F732" s="120"/>
      <c r="G732" s="121"/>
      <c r="H732" s="133"/>
    </row>
    <row r="733" spans="1:8" ht="13" x14ac:dyDescent="0.6">
      <c r="A733" s="120"/>
      <c r="B733" s="120"/>
      <c r="C733" s="121"/>
      <c r="D733" s="121"/>
      <c r="E733" s="121"/>
      <c r="F733" s="120"/>
      <c r="G733" s="121"/>
      <c r="H733" s="133"/>
    </row>
    <row r="734" spans="1:8" ht="13" x14ac:dyDescent="0.6">
      <c r="A734" s="120"/>
      <c r="B734" s="120"/>
      <c r="C734" s="121"/>
      <c r="D734" s="121"/>
      <c r="E734" s="121"/>
      <c r="F734" s="120"/>
      <c r="G734" s="121"/>
      <c r="H734" s="133"/>
    </row>
    <row r="735" spans="1:8" ht="13" x14ac:dyDescent="0.6">
      <c r="A735" s="120"/>
      <c r="B735" s="120"/>
      <c r="C735" s="121"/>
      <c r="D735" s="121"/>
      <c r="E735" s="121"/>
      <c r="F735" s="120"/>
      <c r="G735" s="121"/>
      <c r="H735" s="133"/>
    </row>
    <row r="736" spans="1:8" ht="13" x14ac:dyDescent="0.6">
      <c r="A736" s="120"/>
      <c r="B736" s="120"/>
      <c r="C736" s="121"/>
      <c r="D736" s="121"/>
      <c r="E736" s="121"/>
      <c r="F736" s="120"/>
      <c r="G736" s="121"/>
      <c r="H736" s="133"/>
    </row>
    <row r="737" spans="1:8" ht="13" x14ac:dyDescent="0.6">
      <c r="A737" s="120"/>
      <c r="B737" s="120"/>
      <c r="C737" s="121"/>
      <c r="D737" s="121"/>
      <c r="E737" s="121"/>
      <c r="F737" s="120"/>
      <c r="G737" s="121"/>
      <c r="H737" s="133"/>
    </row>
    <row r="738" spans="1:8" ht="13" x14ac:dyDescent="0.6">
      <c r="A738" s="120"/>
      <c r="B738" s="120"/>
      <c r="C738" s="121"/>
      <c r="D738" s="121"/>
      <c r="E738" s="121"/>
      <c r="F738" s="120"/>
      <c r="G738" s="121"/>
      <c r="H738" s="133"/>
    </row>
    <row r="739" spans="1:8" ht="13" x14ac:dyDescent="0.6">
      <c r="A739" s="120"/>
      <c r="B739" s="120"/>
      <c r="C739" s="121"/>
      <c r="D739" s="121"/>
      <c r="E739" s="121"/>
      <c r="F739" s="120"/>
      <c r="G739" s="121"/>
      <c r="H739" s="133"/>
    </row>
    <row r="740" spans="1:8" ht="13" x14ac:dyDescent="0.6">
      <c r="A740" s="120"/>
      <c r="B740" s="120"/>
      <c r="C740" s="121"/>
      <c r="D740" s="121"/>
      <c r="E740" s="121"/>
      <c r="F740" s="120"/>
      <c r="G740" s="121"/>
      <c r="H740" s="133"/>
    </row>
    <row r="741" spans="1:8" ht="13" x14ac:dyDescent="0.6">
      <c r="A741" s="120"/>
      <c r="B741" s="120"/>
      <c r="C741" s="121"/>
      <c r="D741" s="121"/>
      <c r="E741" s="121"/>
      <c r="F741" s="120"/>
      <c r="G741" s="121"/>
      <c r="H741" s="133"/>
    </row>
    <row r="742" spans="1:8" ht="13" x14ac:dyDescent="0.6">
      <c r="A742" s="120"/>
      <c r="B742" s="120"/>
      <c r="C742" s="121"/>
      <c r="D742" s="121"/>
      <c r="E742" s="121"/>
      <c r="F742" s="120"/>
      <c r="G742" s="121"/>
      <c r="H742" s="133"/>
    </row>
    <row r="743" spans="1:8" ht="13" x14ac:dyDescent="0.6">
      <c r="A743" s="120"/>
      <c r="B743" s="120"/>
      <c r="C743" s="121"/>
      <c r="D743" s="121"/>
      <c r="E743" s="121"/>
      <c r="F743" s="120"/>
      <c r="G743" s="121"/>
      <c r="H743" s="133"/>
    </row>
    <row r="744" spans="1:8" ht="13" x14ac:dyDescent="0.6">
      <c r="A744" s="120"/>
      <c r="B744" s="120"/>
      <c r="C744" s="121"/>
      <c r="D744" s="121"/>
      <c r="E744" s="121"/>
      <c r="F744" s="120"/>
      <c r="G744" s="121"/>
      <c r="H744" s="133"/>
    </row>
    <row r="745" spans="1:8" ht="13" x14ac:dyDescent="0.6">
      <c r="A745" s="120"/>
      <c r="B745" s="120"/>
      <c r="C745" s="121"/>
      <c r="D745" s="121"/>
      <c r="E745" s="121"/>
      <c r="F745" s="120"/>
      <c r="G745" s="121"/>
      <c r="H745" s="133"/>
    </row>
    <row r="746" spans="1:8" ht="13" x14ac:dyDescent="0.6">
      <c r="A746" s="120"/>
      <c r="B746" s="120"/>
      <c r="C746" s="121"/>
      <c r="D746" s="121"/>
      <c r="E746" s="121"/>
      <c r="F746" s="120"/>
      <c r="G746" s="121"/>
      <c r="H746" s="133"/>
    </row>
    <row r="747" spans="1:8" ht="13" x14ac:dyDescent="0.6">
      <c r="A747" s="120"/>
      <c r="B747" s="120"/>
      <c r="C747" s="121"/>
      <c r="D747" s="121"/>
      <c r="E747" s="121"/>
      <c r="F747" s="120"/>
      <c r="G747" s="121"/>
      <c r="H747" s="133"/>
    </row>
    <row r="748" spans="1:8" ht="13" x14ac:dyDescent="0.6">
      <c r="A748" s="120"/>
      <c r="B748" s="120"/>
      <c r="C748" s="121"/>
      <c r="D748" s="121"/>
      <c r="E748" s="121"/>
      <c r="F748" s="120"/>
      <c r="G748" s="121"/>
      <c r="H748" s="133"/>
    </row>
    <row r="749" spans="1:8" ht="13" x14ac:dyDescent="0.6">
      <c r="A749" s="120"/>
      <c r="B749" s="120"/>
      <c r="C749" s="121"/>
      <c r="D749" s="121"/>
      <c r="E749" s="121"/>
      <c r="F749" s="120"/>
      <c r="G749" s="121"/>
      <c r="H749" s="133"/>
    </row>
    <row r="750" spans="1:8" ht="13" x14ac:dyDescent="0.6">
      <c r="A750" s="120"/>
      <c r="B750" s="120"/>
      <c r="C750" s="121"/>
      <c r="D750" s="121"/>
      <c r="E750" s="121"/>
      <c r="F750" s="120"/>
      <c r="G750" s="121"/>
      <c r="H750" s="133"/>
    </row>
    <row r="751" spans="1:8" ht="13" x14ac:dyDescent="0.6">
      <c r="A751" s="120"/>
      <c r="B751" s="120"/>
      <c r="C751" s="121"/>
      <c r="D751" s="121"/>
      <c r="E751" s="121"/>
      <c r="F751" s="120"/>
      <c r="G751" s="121"/>
      <c r="H751" s="133"/>
    </row>
    <row r="752" spans="1:8" ht="13" x14ac:dyDescent="0.6">
      <c r="A752" s="120"/>
      <c r="B752" s="120"/>
      <c r="C752" s="121"/>
      <c r="D752" s="121"/>
      <c r="E752" s="121"/>
      <c r="F752" s="120"/>
      <c r="G752" s="121"/>
      <c r="H752" s="133"/>
    </row>
    <row r="753" spans="1:8" ht="13" x14ac:dyDescent="0.6">
      <c r="A753" s="120"/>
      <c r="B753" s="120"/>
      <c r="C753" s="121"/>
      <c r="D753" s="121"/>
      <c r="E753" s="121"/>
      <c r="F753" s="120"/>
      <c r="G753" s="121"/>
      <c r="H753" s="133"/>
    </row>
    <row r="754" spans="1:8" ht="13" x14ac:dyDescent="0.6">
      <c r="A754" s="120"/>
      <c r="B754" s="120"/>
      <c r="C754" s="121"/>
      <c r="D754" s="121"/>
      <c r="E754" s="121"/>
      <c r="F754" s="120"/>
      <c r="G754" s="121"/>
      <c r="H754" s="133"/>
    </row>
    <row r="755" spans="1:8" ht="13" x14ac:dyDescent="0.6">
      <c r="A755" s="120"/>
      <c r="B755" s="120"/>
      <c r="C755" s="121"/>
      <c r="D755" s="121"/>
      <c r="E755" s="121"/>
      <c r="F755" s="120"/>
      <c r="G755" s="121"/>
      <c r="H755" s="133"/>
    </row>
    <row r="756" spans="1:8" ht="13" x14ac:dyDescent="0.6">
      <c r="A756" s="120"/>
      <c r="B756" s="120"/>
      <c r="C756" s="121"/>
      <c r="D756" s="121"/>
      <c r="E756" s="121"/>
      <c r="F756" s="120"/>
      <c r="G756" s="121"/>
      <c r="H756" s="133"/>
    </row>
    <row r="757" spans="1:8" ht="13" x14ac:dyDescent="0.6">
      <c r="A757" s="120"/>
      <c r="B757" s="120"/>
      <c r="C757" s="121"/>
      <c r="D757" s="121"/>
      <c r="E757" s="121"/>
      <c r="F757" s="120"/>
      <c r="G757" s="121"/>
      <c r="H757" s="133"/>
    </row>
    <row r="758" spans="1:8" ht="13" x14ac:dyDescent="0.6">
      <c r="A758" s="120"/>
      <c r="B758" s="120"/>
      <c r="C758" s="121"/>
      <c r="D758" s="121"/>
      <c r="E758" s="121"/>
      <c r="F758" s="120"/>
      <c r="G758" s="121"/>
      <c r="H758" s="133"/>
    </row>
    <row r="759" spans="1:8" ht="13" x14ac:dyDescent="0.6">
      <c r="A759" s="120"/>
      <c r="B759" s="120"/>
      <c r="C759" s="121"/>
      <c r="D759" s="121"/>
      <c r="E759" s="121"/>
      <c r="F759" s="120"/>
      <c r="G759" s="121"/>
      <c r="H759" s="133"/>
    </row>
    <row r="760" spans="1:8" ht="13" x14ac:dyDescent="0.6">
      <c r="A760" s="120"/>
      <c r="B760" s="120"/>
      <c r="C760" s="121"/>
      <c r="D760" s="121"/>
      <c r="E760" s="121"/>
      <c r="F760" s="120"/>
      <c r="G760" s="121"/>
      <c r="H760" s="133"/>
    </row>
    <row r="761" spans="1:8" ht="13" x14ac:dyDescent="0.6">
      <c r="A761" s="120"/>
      <c r="B761" s="120"/>
      <c r="C761" s="121"/>
      <c r="D761" s="121"/>
      <c r="E761" s="121"/>
      <c r="F761" s="120"/>
      <c r="G761" s="121"/>
      <c r="H761" s="133"/>
    </row>
    <row r="762" spans="1:8" ht="13" x14ac:dyDescent="0.6">
      <c r="A762" s="120"/>
      <c r="B762" s="120"/>
      <c r="C762" s="121"/>
      <c r="D762" s="121"/>
      <c r="E762" s="121"/>
      <c r="F762" s="120"/>
      <c r="G762" s="121"/>
      <c r="H762" s="133"/>
    </row>
    <row r="763" spans="1:8" ht="13" x14ac:dyDescent="0.6">
      <c r="A763" s="120"/>
      <c r="B763" s="120"/>
      <c r="C763" s="121"/>
      <c r="D763" s="121"/>
      <c r="E763" s="121"/>
      <c r="F763" s="120"/>
      <c r="G763" s="121"/>
      <c r="H763" s="133"/>
    </row>
    <row r="764" spans="1:8" ht="13" x14ac:dyDescent="0.6">
      <c r="A764" s="120"/>
      <c r="B764" s="120"/>
      <c r="C764" s="121"/>
      <c r="D764" s="121"/>
      <c r="E764" s="121"/>
      <c r="F764" s="120"/>
      <c r="G764" s="121"/>
      <c r="H764" s="133"/>
    </row>
    <row r="765" spans="1:8" ht="13" x14ac:dyDescent="0.6">
      <c r="A765" s="120"/>
      <c r="B765" s="120"/>
      <c r="C765" s="121"/>
      <c r="D765" s="121"/>
      <c r="E765" s="121"/>
      <c r="F765" s="120"/>
      <c r="G765" s="121"/>
      <c r="H765" s="133"/>
    </row>
    <row r="766" spans="1:8" ht="13" x14ac:dyDescent="0.6">
      <c r="A766" s="120"/>
      <c r="B766" s="120"/>
      <c r="C766" s="121"/>
      <c r="D766" s="121"/>
      <c r="E766" s="121"/>
      <c r="F766" s="120"/>
      <c r="G766" s="121"/>
      <c r="H766" s="133"/>
    </row>
    <row r="767" spans="1:8" ht="13" x14ac:dyDescent="0.6">
      <c r="A767" s="120"/>
      <c r="B767" s="120"/>
      <c r="C767" s="121"/>
      <c r="D767" s="121"/>
      <c r="E767" s="121"/>
      <c r="F767" s="120"/>
      <c r="G767" s="121"/>
      <c r="H767" s="133"/>
    </row>
    <row r="768" spans="1:8" ht="13" x14ac:dyDescent="0.6">
      <c r="A768" s="120"/>
      <c r="B768" s="120"/>
      <c r="C768" s="121"/>
      <c r="D768" s="121"/>
      <c r="E768" s="121"/>
      <c r="F768" s="120"/>
      <c r="G768" s="121"/>
      <c r="H768" s="133"/>
    </row>
    <row r="769" spans="1:8" ht="13" x14ac:dyDescent="0.6">
      <c r="A769" s="120"/>
      <c r="B769" s="120"/>
      <c r="C769" s="121"/>
      <c r="D769" s="121"/>
      <c r="E769" s="121"/>
      <c r="F769" s="120"/>
      <c r="G769" s="121"/>
      <c r="H769" s="133"/>
    </row>
    <row r="770" spans="1:8" ht="13" x14ac:dyDescent="0.6">
      <c r="A770" s="120"/>
      <c r="B770" s="120"/>
      <c r="C770" s="121"/>
      <c r="D770" s="121"/>
      <c r="E770" s="121"/>
      <c r="F770" s="120"/>
      <c r="G770" s="121"/>
      <c r="H770" s="133"/>
    </row>
    <row r="771" spans="1:8" ht="13" x14ac:dyDescent="0.6">
      <c r="A771" s="120"/>
      <c r="B771" s="120"/>
      <c r="C771" s="121"/>
      <c r="D771" s="121"/>
      <c r="E771" s="121"/>
      <c r="F771" s="120"/>
      <c r="G771" s="121"/>
      <c r="H771" s="133"/>
    </row>
    <row r="772" spans="1:8" ht="13" x14ac:dyDescent="0.6">
      <c r="A772" s="120"/>
      <c r="B772" s="120"/>
      <c r="C772" s="121"/>
      <c r="D772" s="121"/>
      <c r="E772" s="121"/>
      <c r="F772" s="120"/>
      <c r="G772" s="121"/>
      <c r="H772" s="133"/>
    </row>
    <row r="773" spans="1:8" ht="13" x14ac:dyDescent="0.6">
      <c r="A773" s="120"/>
      <c r="B773" s="120"/>
      <c r="C773" s="121"/>
      <c r="D773" s="121"/>
      <c r="E773" s="121"/>
      <c r="F773" s="120"/>
      <c r="G773" s="121"/>
      <c r="H773" s="133"/>
    </row>
    <row r="774" spans="1:8" ht="13" x14ac:dyDescent="0.6">
      <c r="A774" s="120"/>
      <c r="B774" s="120"/>
      <c r="C774" s="121"/>
      <c r="D774" s="121"/>
      <c r="E774" s="121"/>
      <c r="F774" s="120"/>
      <c r="G774" s="121"/>
      <c r="H774" s="133"/>
    </row>
    <row r="775" spans="1:8" ht="13" x14ac:dyDescent="0.6">
      <c r="A775" s="120"/>
      <c r="B775" s="120"/>
      <c r="C775" s="121"/>
      <c r="D775" s="121"/>
      <c r="E775" s="121"/>
      <c r="F775" s="120"/>
      <c r="G775" s="121"/>
      <c r="H775" s="133"/>
    </row>
    <row r="776" spans="1:8" ht="13" x14ac:dyDescent="0.6">
      <c r="A776" s="120"/>
      <c r="B776" s="120"/>
      <c r="C776" s="121"/>
      <c r="D776" s="121"/>
      <c r="E776" s="121"/>
      <c r="F776" s="120"/>
      <c r="G776" s="121"/>
      <c r="H776" s="133"/>
    </row>
    <row r="777" spans="1:8" ht="13" x14ac:dyDescent="0.6">
      <c r="A777" s="120"/>
      <c r="B777" s="120"/>
      <c r="C777" s="121"/>
      <c r="D777" s="121"/>
      <c r="E777" s="121"/>
      <c r="F777" s="120"/>
      <c r="G777" s="121"/>
      <c r="H777" s="133"/>
    </row>
    <row r="778" spans="1:8" ht="13" x14ac:dyDescent="0.6">
      <c r="A778" s="120"/>
      <c r="B778" s="120"/>
      <c r="C778" s="121"/>
      <c r="D778" s="121"/>
      <c r="E778" s="121"/>
      <c r="F778" s="120"/>
      <c r="G778" s="121"/>
      <c r="H778" s="133"/>
    </row>
    <row r="779" spans="1:8" ht="13" x14ac:dyDescent="0.6">
      <c r="A779" s="120"/>
      <c r="B779" s="120"/>
      <c r="C779" s="121"/>
      <c r="D779" s="121"/>
      <c r="E779" s="121"/>
      <c r="F779" s="120"/>
      <c r="G779" s="121"/>
      <c r="H779" s="133"/>
    </row>
    <row r="780" spans="1:8" ht="13" x14ac:dyDescent="0.6">
      <c r="A780" s="120"/>
      <c r="B780" s="120"/>
      <c r="C780" s="121"/>
      <c r="D780" s="121"/>
      <c r="E780" s="121"/>
      <c r="F780" s="120"/>
      <c r="G780" s="121"/>
      <c r="H780" s="133"/>
    </row>
    <row r="781" spans="1:8" ht="13" x14ac:dyDescent="0.6">
      <c r="A781" s="120"/>
      <c r="B781" s="120"/>
      <c r="C781" s="121"/>
      <c r="D781" s="121"/>
      <c r="E781" s="121"/>
      <c r="F781" s="120"/>
      <c r="G781" s="121"/>
      <c r="H781" s="133"/>
    </row>
    <row r="782" spans="1:8" ht="13" x14ac:dyDescent="0.6">
      <c r="A782" s="120"/>
      <c r="B782" s="120"/>
      <c r="C782" s="121"/>
      <c r="D782" s="121"/>
      <c r="E782" s="121"/>
      <c r="F782" s="120"/>
      <c r="G782" s="121"/>
      <c r="H782" s="133"/>
    </row>
    <row r="783" spans="1:8" ht="13" x14ac:dyDescent="0.6">
      <c r="A783" s="120"/>
      <c r="B783" s="120"/>
      <c r="C783" s="121"/>
      <c r="D783" s="121"/>
      <c r="E783" s="121"/>
      <c r="F783" s="120"/>
      <c r="G783" s="121"/>
      <c r="H783" s="133"/>
    </row>
    <row r="784" spans="1:8" ht="13" x14ac:dyDescent="0.6">
      <c r="A784" s="120"/>
      <c r="B784" s="120"/>
      <c r="C784" s="121"/>
      <c r="D784" s="121"/>
      <c r="E784" s="121"/>
      <c r="F784" s="120"/>
      <c r="G784" s="121"/>
      <c r="H784" s="133"/>
    </row>
    <row r="785" spans="1:8" ht="13" x14ac:dyDescent="0.6">
      <c r="A785" s="120"/>
      <c r="B785" s="120"/>
      <c r="C785" s="121"/>
      <c r="D785" s="121"/>
      <c r="E785" s="121"/>
      <c r="F785" s="120"/>
      <c r="G785" s="121"/>
      <c r="H785" s="133"/>
    </row>
    <row r="786" spans="1:8" ht="13" x14ac:dyDescent="0.6">
      <c r="A786" s="120"/>
      <c r="B786" s="120"/>
      <c r="C786" s="121"/>
      <c r="D786" s="121"/>
      <c r="E786" s="121"/>
      <c r="F786" s="120"/>
      <c r="G786" s="121"/>
      <c r="H786" s="133"/>
    </row>
    <row r="787" spans="1:8" ht="13" x14ac:dyDescent="0.6">
      <c r="A787" s="120"/>
      <c r="B787" s="120"/>
      <c r="C787" s="121"/>
      <c r="D787" s="121"/>
      <c r="E787" s="121"/>
      <c r="F787" s="120"/>
      <c r="G787" s="121"/>
      <c r="H787" s="133"/>
    </row>
    <row r="788" spans="1:8" ht="13" x14ac:dyDescent="0.6">
      <c r="A788" s="120"/>
      <c r="B788" s="120"/>
      <c r="C788" s="121"/>
      <c r="D788" s="121"/>
      <c r="E788" s="121"/>
      <c r="F788" s="120"/>
      <c r="G788" s="121"/>
      <c r="H788" s="133"/>
    </row>
    <row r="789" spans="1:8" ht="13" x14ac:dyDescent="0.6">
      <c r="A789" s="120"/>
      <c r="B789" s="120"/>
      <c r="C789" s="121"/>
      <c r="D789" s="121"/>
      <c r="E789" s="121"/>
      <c r="F789" s="120"/>
      <c r="G789" s="121"/>
      <c r="H789" s="133"/>
    </row>
    <row r="790" spans="1:8" ht="13" x14ac:dyDescent="0.6">
      <c r="A790" s="120"/>
      <c r="B790" s="120"/>
      <c r="C790" s="121"/>
      <c r="D790" s="121"/>
      <c r="E790" s="121"/>
      <c r="F790" s="120"/>
      <c r="G790" s="121"/>
      <c r="H790" s="133"/>
    </row>
    <row r="791" spans="1:8" ht="13" x14ac:dyDescent="0.6">
      <c r="A791" s="120"/>
      <c r="B791" s="120"/>
      <c r="C791" s="121"/>
      <c r="D791" s="121"/>
      <c r="E791" s="121"/>
      <c r="F791" s="120"/>
      <c r="G791" s="121"/>
      <c r="H791" s="133"/>
    </row>
    <row r="792" spans="1:8" ht="13" x14ac:dyDescent="0.6">
      <c r="A792" s="120"/>
      <c r="B792" s="120"/>
      <c r="C792" s="121"/>
      <c r="D792" s="121"/>
      <c r="E792" s="121"/>
      <c r="F792" s="120"/>
      <c r="G792" s="121"/>
      <c r="H792" s="133"/>
    </row>
    <row r="793" spans="1:8" ht="13" x14ac:dyDescent="0.6">
      <c r="A793" s="120"/>
      <c r="B793" s="120"/>
      <c r="C793" s="121"/>
      <c r="D793" s="121"/>
      <c r="E793" s="121"/>
      <c r="F793" s="120"/>
      <c r="G793" s="121"/>
      <c r="H793" s="133"/>
    </row>
    <row r="794" spans="1:8" ht="13" x14ac:dyDescent="0.6">
      <c r="A794" s="120"/>
      <c r="B794" s="120"/>
      <c r="C794" s="121"/>
      <c r="D794" s="121"/>
      <c r="E794" s="121"/>
      <c r="F794" s="120"/>
      <c r="G794" s="121"/>
      <c r="H794" s="133"/>
    </row>
    <row r="795" spans="1:8" ht="13" x14ac:dyDescent="0.6">
      <c r="A795" s="120"/>
      <c r="B795" s="120"/>
      <c r="C795" s="121"/>
      <c r="D795" s="121"/>
      <c r="E795" s="121"/>
      <c r="F795" s="120"/>
      <c r="G795" s="121"/>
      <c r="H795" s="133"/>
    </row>
    <row r="796" spans="1:8" ht="13" x14ac:dyDescent="0.6">
      <c r="A796" s="120"/>
      <c r="B796" s="120"/>
      <c r="C796" s="121"/>
      <c r="D796" s="121"/>
      <c r="E796" s="121"/>
      <c r="F796" s="120"/>
      <c r="G796" s="121"/>
      <c r="H796" s="133"/>
    </row>
    <row r="797" spans="1:8" ht="13" x14ac:dyDescent="0.6">
      <c r="A797" s="120"/>
      <c r="B797" s="120"/>
      <c r="C797" s="121"/>
      <c r="D797" s="121"/>
      <c r="E797" s="121"/>
      <c r="F797" s="120"/>
      <c r="G797" s="121"/>
      <c r="H797" s="133"/>
    </row>
    <row r="798" spans="1:8" ht="13" x14ac:dyDescent="0.6">
      <c r="A798" s="120"/>
      <c r="B798" s="120"/>
      <c r="C798" s="121"/>
      <c r="D798" s="121"/>
      <c r="E798" s="121"/>
      <c r="F798" s="120"/>
      <c r="G798" s="121"/>
      <c r="H798" s="133"/>
    </row>
    <row r="799" spans="1:8" ht="13" x14ac:dyDescent="0.6">
      <c r="A799" s="120"/>
      <c r="B799" s="120"/>
      <c r="C799" s="121"/>
      <c r="D799" s="121"/>
      <c r="E799" s="121"/>
      <c r="F799" s="120"/>
      <c r="G799" s="121"/>
      <c r="H799" s="133"/>
    </row>
    <row r="800" spans="1:8" ht="13" x14ac:dyDescent="0.6">
      <c r="A800" s="120"/>
      <c r="B800" s="120"/>
      <c r="C800" s="121"/>
      <c r="D800" s="121"/>
      <c r="E800" s="121"/>
      <c r="F800" s="120"/>
      <c r="G800" s="121"/>
      <c r="H800" s="133"/>
    </row>
    <row r="801" spans="1:8" ht="13" x14ac:dyDescent="0.6">
      <c r="A801" s="120"/>
      <c r="B801" s="120"/>
      <c r="C801" s="121"/>
      <c r="D801" s="121"/>
      <c r="E801" s="121"/>
      <c r="F801" s="120"/>
      <c r="G801" s="121"/>
      <c r="H801" s="133"/>
    </row>
    <row r="802" spans="1:8" ht="13" x14ac:dyDescent="0.6">
      <c r="A802" s="120"/>
      <c r="B802" s="120"/>
      <c r="C802" s="121"/>
      <c r="D802" s="121"/>
      <c r="E802" s="121"/>
      <c r="F802" s="120"/>
      <c r="G802" s="121"/>
      <c r="H802" s="133"/>
    </row>
    <row r="803" spans="1:8" ht="13" x14ac:dyDescent="0.6">
      <c r="A803" s="120"/>
      <c r="B803" s="120"/>
      <c r="C803" s="121"/>
      <c r="D803" s="121"/>
      <c r="E803" s="121"/>
      <c r="F803" s="120"/>
      <c r="G803" s="121"/>
      <c r="H803" s="133"/>
    </row>
    <row r="804" spans="1:8" ht="13" x14ac:dyDescent="0.6">
      <c r="A804" s="120"/>
      <c r="B804" s="120"/>
      <c r="C804" s="121"/>
      <c r="D804" s="121"/>
      <c r="E804" s="121"/>
      <c r="F804" s="120"/>
      <c r="G804" s="121"/>
      <c r="H804" s="133"/>
    </row>
    <row r="805" spans="1:8" ht="13" x14ac:dyDescent="0.6">
      <c r="A805" s="120"/>
      <c r="B805" s="120"/>
      <c r="C805" s="121"/>
      <c r="D805" s="121"/>
      <c r="E805" s="121"/>
      <c r="F805" s="120"/>
      <c r="G805" s="121"/>
      <c r="H805" s="133"/>
    </row>
    <row r="806" spans="1:8" ht="13" x14ac:dyDescent="0.6">
      <c r="A806" s="120"/>
      <c r="B806" s="120"/>
      <c r="C806" s="121"/>
      <c r="D806" s="121"/>
      <c r="E806" s="121"/>
      <c r="F806" s="120"/>
      <c r="G806" s="121"/>
      <c r="H806" s="133"/>
    </row>
    <row r="807" spans="1:8" ht="13" x14ac:dyDescent="0.6">
      <c r="A807" s="120"/>
      <c r="B807" s="120"/>
      <c r="C807" s="121"/>
      <c r="D807" s="121"/>
      <c r="E807" s="121"/>
      <c r="F807" s="120"/>
      <c r="G807" s="121"/>
      <c r="H807" s="133"/>
    </row>
    <row r="808" spans="1:8" ht="13" x14ac:dyDescent="0.6">
      <c r="A808" s="120"/>
      <c r="B808" s="120"/>
      <c r="C808" s="121"/>
      <c r="D808" s="121"/>
      <c r="E808" s="121"/>
      <c r="F808" s="120"/>
      <c r="G808" s="121"/>
      <c r="H808" s="133"/>
    </row>
    <row r="809" spans="1:8" ht="13" x14ac:dyDescent="0.6">
      <c r="A809" s="120"/>
      <c r="B809" s="120"/>
      <c r="C809" s="121"/>
      <c r="D809" s="121"/>
      <c r="E809" s="121"/>
      <c r="F809" s="120"/>
      <c r="G809" s="121"/>
      <c r="H809" s="133"/>
    </row>
    <row r="810" spans="1:8" ht="13" x14ac:dyDescent="0.6">
      <c r="A810" s="120"/>
      <c r="B810" s="120"/>
      <c r="C810" s="121"/>
      <c r="D810" s="121"/>
      <c r="E810" s="121"/>
      <c r="F810" s="120"/>
      <c r="G810" s="121"/>
      <c r="H810" s="133"/>
    </row>
    <row r="811" spans="1:8" ht="13" x14ac:dyDescent="0.6">
      <c r="A811" s="120"/>
      <c r="B811" s="120"/>
      <c r="C811" s="121"/>
      <c r="D811" s="121"/>
      <c r="E811" s="121"/>
      <c r="F811" s="120"/>
      <c r="G811" s="121"/>
      <c r="H811" s="133"/>
    </row>
    <row r="812" spans="1:8" ht="13" x14ac:dyDescent="0.6">
      <c r="A812" s="120"/>
      <c r="B812" s="120"/>
      <c r="C812" s="121"/>
      <c r="D812" s="121"/>
      <c r="E812" s="121"/>
      <c r="F812" s="120"/>
      <c r="G812" s="121"/>
      <c r="H812" s="133"/>
    </row>
    <row r="813" spans="1:8" ht="13" x14ac:dyDescent="0.6">
      <c r="A813" s="120"/>
      <c r="B813" s="120"/>
      <c r="C813" s="121"/>
      <c r="D813" s="121"/>
      <c r="E813" s="121"/>
      <c r="F813" s="120"/>
      <c r="G813" s="121"/>
      <c r="H813" s="133"/>
    </row>
    <row r="814" spans="1:8" ht="13" x14ac:dyDescent="0.6">
      <c r="A814" s="120"/>
      <c r="B814" s="120"/>
      <c r="C814" s="121"/>
      <c r="D814" s="121"/>
      <c r="E814" s="121"/>
      <c r="F814" s="120"/>
      <c r="G814" s="121"/>
      <c r="H814" s="133"/>
    </row>
    <row r="815" spans="1:8" ht="13" x14ac:dyDescent="0.6">
      <c r="A815" s="120"/>
      <c r="B815" s="120"/>
      <c r="C815" s="121"/>
      <c r="D815" s="121"/>
      <c r="E815" s="121"/>
      <c r="F815" s="120"/>
      <c r="G815" s="121"/>
      <c r="H815" s="133"/>
    </row>
    <row r="816" spans="1:8" ht="13" x14ac:dyDescent="0.6">
      <c r="A816" s="120"/>
      <c r="B816" s="120"/>
      <c r="C816" s="121"/>
      <c r="D816" s="121"/>
      <c r="E816" s="121"/>
      <c r="F816" s="120"/>
      <c r="G816" s="121"/>
      <c r="H816" s="133"/>
    </row>
    <row r="817" spans="1:8" ht="13" x14ac:dyDescent="0.6">
      <c r="A817" s="120"/>
      <c r="B817" s="120"/>
      <c r="C817" s="121"/>
      <c r="D817" s="121"/>
      <c r="E817" s="121"/>
      <c r="F817" s="120"/>
      <c r="G817" s="121"/>
      <c r="H817" s="133"/>
    </row>
    <row r="818" spans="1:8" ht="13" x14ac:dyDescent="0.6">
      <c r="A818" s="120"/>
      <c r="B818" s="120"/>
      <c r="C818" s="121"/>
      <c r="D818" s="121"/>
      <c r="E818" s="121"/>
      <c r="F818" s="120"/>
      <c r="G818" s="121"/>
      <c r="H818" s="133"/>
    </row>
    <row r="819" spans="1:8" ht="13" x14ac:dyDescent="0.6">
      <c r="A819" s="120"/>
      <c r="B819" s="120"/>
      <c r="C819" s="121"/>
      <c r="D819" s="121"/>
      <c r="E819" s="121"/>
      <c r="F819" s="120"/>
      <c r="G819" s="121"/>
      <c r="H819" s="133"/>
    </row>
    <row r="820" spans="1:8" ht="13" x14ac:dyDescent="0.6">
      <c r="A820" s="120"/>
      <c r="B820" s="120"/>
      <c r="C820" s="121"/>
      <c r="D820" s="121"/>
      <c r="E820" s="121"/>
      <c r="F820" s="120"/>
      <c r="G820" s="121"/>
      <c r="H820" s="133"/>
    </row>
    <row r="821" spans="1:8" ht="13" x14ac:dyDescent="0.6">
      <c r="A821" s="120"/>
      <c r="B821" s="120"/>
      <c r="C821" s="121"/>
      <c r="D821" s="121"/>
      <c r="E821" s="121"/>
      <c r="F821" s="120"/>
      <c r="G821" s="121"/>
      <c r="H821" s="133"/>
    </row>
    <row r="822" spans="1:8" ht="13" x14ac:dyDescent="0.6">
      <c r="A822" s="120"/>
      <c r="B822" s="120"/>
      <c r="C822" s="121"/>
      <c r="D822" s="121"/>
      <c r="E822" s="121"/>
      <c r="F822" s="120"/>
      <c r="G822" s="121"/>
      <c r="H822" s="133"/>
    </row>
    <row r="823" spans="1:8" ht="13" x14ac:dyDescent="0.6">
      <c r="A823" s="120"/>
      <c r="B823" s="120"/>
      <c r="C823" s="121"/>
      <c r="D823" s="121"/>
      <c r="E823" s="121"/>
      <c r="F823" s="120"/>
      <c r="G823" s="121"/>
      <c r="H823" s="133"/>
    </row>
    <row r="824" spans="1:8" ht="13" x14ac:dyDescent="0.6">
      <c r="A824" s="120"/>
      <c r="B824" s="120"/>
      <c r="C824" s="121"/>
      <c r="D824" s="121"/>
      <c r="E824" s="121"/>
      <c r="F824" s="120"/>
      <c r="G824" s="121"/>
      <c r="H824" s="133"/>
    </row>
    <row r="825" spans="1:8" ht="13" x14ac:dyDescent="0.6">
      <c r="A825" s="120"/>
      <c r="B825" s="120"/>
      <c r="C825" s="121"/>
      <c r="D825" s="121"/>
      <c r="E825" s="121"/>
      <c r="F825" s="120"/>
      <c r="G825" s="121"/>
      <c r="H825" s="133"/>
    </row>
    <row r="826" spans="1:8" ht="13" x14ac:dyDescent="0.6">
      <c r="A826" s="120"/>
      <c r="B826" s="120"/>
      <c r="C826" s="121"/>
      <c r="D826" s="121"/>
      <c r="E826" s="121"/>
      <c r="F826" s="120"/>
      <c r="G826" s="121"/>
      <c r="H826" s="133"/>
    </row>
    <row r="827" spans="1:8" ht="13" x14ac:dyDescent="0.6">
      <c r="A827" s="120"/>
      <c r="B827" s="120"/>
      <c r="C827" s="121"/>
      <c r="D827" s="121"/>
      <c r="E827" s="121"/>
      <c r="F827" s="120"/>
      <c r="G827" s="121"/>
      <c r="H827" s="133"/>
    </row>
    <row r="828" spans="1:8" ht="13" x14ac:dyDescent="0.6">
      <c r="A828" s="120"/>
      <c r="B828" s="120"/>
      <c r="C828" s="121"/>
      <c r="D828" s="121"/>
      <c r="E828" s="121"/>
      <c r="F828" s="120"/>
      <c r="G828" s="121"/>
      <c r="H828" s="133"/>
    </row>
    <row r="829" spans="1:8" ht="13" x14ac:dyDescent="0.6">
      <c r="A829" s="120"/>
      <c r="B829" s="120"/>
      <c r="C829" s="121"/>
      <c r="D829" s="121"/>
      <c r="E829" s="121"/>
      <c r="F829" s="120"/>
      <c r="G829" s="121"/>
      <c r="H829" s="133"/>
    </row>
    <row r="830" spans="1:8" ht="13" x14ac:dyDescent="0.6">
      <c r="A830" s="120"/>
      <c r="B830" s="120"/>
      <c r="C830" s="121"/>
      <c r="D830" s="121"/>
      <c r="E830" s="121"/>
      <c r="F830" s="120"/>
      <c r="G830" s="121"/>
      <c r="H830" s="133"/>
    </row>
    <row r="831" spans="1:8" ht="13" x14ac:dyDescent="0.6">
      <c r="A831" s="120"/>
      <c r="B831" s="120"/>
      <c r="C831" s="121"/>
      <c r="D831" s="121"/>
      <c r="E831" s="121"/>
      <c r="F831" s="120"/>
      <c r="G831" s="121"/>
      <c r="H831" s="133"/>
    </row>
    <row r="832" spans="1:8" ht="13" x14ac:dyDescent="0.6">
      <c r="A832" s="120"/>
      <c r="B832" s="120"/>
      <c r="C832" s="121"/>
      <c r="D832" s="121"/>
      <c r="E832" s="121"/>
      <c r="F832" s="120"/>
      <c r="G832" s="121"/>
      <c r="H832" s="133"/>
    </row>
    <row r="833" spans="1:8" ht="13" x14ac:dyDescent="0.6">
      <c r="A833" s="120"/>
      <c r="B833" s="120"/>
      <c r="C833" s="121"/>
      <c r="D833" s="121"/>
      <c r="E833" s="121"/>
      <c r="F833" s="120"/>
      <c r="G833" s="121"/>
      <c r="H833" s="133"/>
    </row>
    <row r="834" spans="1:8" ht="13" x14ac:dyDescent="0.6">
      <c r="A834" s="120"/>
      <c r="B834" s="120"/>
      <c r="C834" s="121"/>
      <c r="D834" s="121"/>
      <c r="E834" s="121"/>
      <c r="F834" s="120"/>
      <c r="G834" s="121"/>
      <c r="H834" s="133"/>
    </row>
    <row r="835" spans="1:8" ht="13" x14ac:dyDescent="0.6">
      <c r="A835" s="120"/>
      <c r="B835" s="120"/>
      <c r="C835" s="121"/>
      <c r="D835" s="121"/>
      <c r="E835" s="121"/>
      <c r="F835" s="120"/>
      <c r="G835" s="121"/>
      <c r="H835" s="133"/>
    </row>
    <row r="836" spans="1:8" ht="13" x14ac:dyDescent="0.6">
      <c r="A836" s="120"/>
      <c r="B836" s="120"/>
      <c r="C836" s="121"/>
      <c r="D836" s="121"/>
      <c r="E836" s="121"/>
      <c r="F836" s="120"/>
      <c r="G836" s="121"/>
      <c r="H836" s="133"/>
    </row>
    <row r="837" spans="1:8" ht="13" x14ac:dyDescent="0.6">
      <c r="A837" s="120"/>
      <c r="B837" s="120"/>
      <c r="C837" s="121"/>
      <c r="D837" s="121"/>
      <c r="E837" s="121"/>
      <c r="F837" s="120"/>
      <c r="G837" s="121"/>
      <c r="H837" s="133"/>
    </row>
    <row r="838" spans="1:8" ht="13" x14ac:dyDescent="0.6">
      <c r="A838" s="120"/>
      <c r="B838" s="120"/>
      <c r="C838" s="121"/>
      <c r="D838" s="121"/>
      <c r="E838" s="121"/>
      <c r="F838" s="120"/>
      <c r="G838" s="121"/>
      <c r="H838" s="133"/>
    </row>
    <row r="839" spans="1:8" ht="13" x14ac:dyDescent="0.6">
      <c r="A839" s="122"/>
      <c r="B839" s="122"/>
      <c r="C839" s="123"/>
      <c r="D839" s="123"/>
      <c r="E839" s="123"/>
    </row>
    <row r="840" spans="1:8" ht="13" x14ac:dyDescent="0.6">
      <c r="A840" s="122"/>
      <c r="B840" s="122"/>
      <c r="C840" s="123"/>
      <c r="D840" s="123"/>
      <c r="E840" s="123"/>
    </row>
    <row r="841" spans="1:8" ht="13" x14ac:dyDescent="0.6">
      <c r="A841" s="122"/>
      <c r="B841" s="122"/>
      <c r="C841" s="123"/>
      <c r="D841" s="123"/>
      <c r="E841" s="123"/>
    </row>
    <row r="842" spans="1:8" ht="13" x14ac:dyDescent="0.6">
      <c r="A842" s="122"/>
      <c r="B842" s="122"/>
      <c r="C842" s="123"/>
      <c r="D842" s="123"/>
      <c r="E842" s="123"/>
    </row>
    <row r="843" spans="1:8" ht="13" x14ac:dyDescent="0.6">
      <c r="A843" s="122"/>
      <c r="B843" s="122"/>
      <c r="C843" s="123"/>
      <c r="D843" s="123"/>
      <c r="E843" s="123"/>
    </row>
    <row r="844" spans="1:8" ht="13" x14ac:dyDescent="0.6">
      <c r="A844" s="122"/>
      <c r="B844" s="122"/>
      <c r="C844" s="123"/>
      <c r="D844" s="123"/>
      <c r="E844" s="123"/>
    </row>
    <row r="845" spans="1:8" ht="13" x14ac:dyDescent="0.6">
      <c r="A845" s="122"/>
      <c r="B845" s="122"/>
      <c r="C845" s="123"/>
      <c r="D845" s="123"/>
      <c r="E845" s="123"/>
    </row>
    <row r="846" spans="1:8" ht="13" x14ac:dyDescent="0.6">
      <c r="A846" s="122"/>
      <c r="B846" s="122"/>
      <c r="C846" s="123"/>
      <c r="D846" s="123"/>
      <c r="E846" s="123"/>
    </row>
    <row r="847" spans="1:8" ht="13" x14ac:dyDescent="0.6">
      <c r="A847" s="122"/>
      <c r="B847" s="122"/>
      <c r="C847" s="123"/>
      <c r="D847" s="123"/>
      <c r="E847" s="123"/>
    </row>
    <row r="848" spans="1:8" ht="13" x14ac:dyDescent="0.6">
      <c r="A848" s="122"/>
      <c r="B848" s="122"/>
      <c r="C848" s="123"/>
      <c r="D848" s="123"/>
      <c r="E848" s="123"/>
    </row>
    <row r="849" spans="1:5" ht="13" x14ac:dyDescent="0.6">
      <c r="A849" s="122"/>
      <c r="B849" s="122"/>
      <c r="C849" s="123"/>
      <c r="D849" s="123"/>
      <c r="E849" s="123"/>
    </row>
    <row r="850" spans="1:5" ht="13" x14ac:dyDescent="0.6">
      <c r="A850" s="122"/>
      <c r="B850" s="122"/>
      <c r="C850" s="123"/>
      <c r="D850" s="123"/>
      <c r="E850" s="123"/>
    </row>
    <row r="851" spans="1:5" ht="13" x14ac:dyDescent="0.6">
      <c r="A851" s="122"/>
      <c r="B851" s="122"/>
      <c r="C851" s="123"/>
      <c r="D851" s="123"/>
      <c r="E851" s="123"/>
    </row>
    <row r="852" spans="1:5" ht="13" x14ac:dyDescent="0.6">
      <c r="A852" s="122"/>
      <c r="B852" s="122"/>
      <c r="C852" s="123"/>
      <c r="D852" s="123"/>
      <c r="E852" s="123"/>
    </row>
    <row r="853" spans="1:5" ht="13" x14ac:dyDescent="0.6">
      <c r="A853" s="122"/>
      <c r="B853" s="122"/>
      <c r="C853" s="123"/>
      <c r="D853" s="123"/>
      <c r="E853" s="123"/>
    </row>
    <row r="854" spans="1:5" ht="13" x14ac:dyDescent="0.6">
      <c r="A854" s="122"/>
      <c r="B854" s="122"/>
      <c r="C854" s="123"/>
      <c r="D854" s="123"/>
      <c r="E854" s="123"/>
    </row>
    <row r="855" spans="1:5" ht="13" x14ac:dyDescent="0.6">
      <c r="A855" s="122"/>
      <c r="B855" s="122"/>
      <c r="C855" s="123"/>
      <c r="D855" s="123"/>
      <c r="E855" s="123"/>
    </row>
    <row r="856" spans="1:5" ht="13" x14ac:dyDescent="0.6">
      <c r="A856" s="122"/>
      <c r="B856" s="122"/>
      <c r="C856" s="123"/>
      <c r="D856" s="123"/>
      <c r="E856" s="123"/>
    </row>
    <row r="857" spans="1:5" ht="13" x14ac:dyDescent="0.6">
      <c r="A857" s="122"/>
      <c r="B857" s="122"/>
      <c r="C857" s="123"/>
      <c r="D857" s="123"/>
      <c r="E857" s="123"/>
    </row>
    <row r="858" spans="1:5" ht="13" x14ac:dyDescent="0.6">
      <c r="A858" s="122"/>
      <c r="B858" s="122"/>
      <c r="C858" s="123"/>
      <c r="D858" s="123"/>
      <c r="E858" s="123"/>
    </row>
    <row r="859" spans="1:5" ht="13" x14ac:dyDescent="0.6">
      <c r="A859" s="122"/>
      <c r="B859" s="122"/>
      <c r="C859" s="123"/>
      <c r="D859" s="123"/>
      <c r="E859" s="123"/>
    </row>
    <row r="860" spans="1:5" ht="13" x14ac:dyDescent="0.6">
      <c r="A860" s="122"/>
      <c r="B860" s="122"/>
      <c r="C860" s="123"/>
      <c r="D860" s="123"/>
      <c r="E860" s="123"/>
    </row>
    <row r="861" spans="1:5" ht="13" x14ac:dyDescent="0.6">
      <c r="A861" s="122"/>
      <c r="B861" s="122"/>
      <c r="C861" s="123"/>
      <c r="D861" s="123"/>
      <c r="E861" s="123"/>
    </row>
    <row r="862" spans="1:5" ht="13" x14ac:dyDescent="0.6">
      <c r="A862" s="122"/>
      <c r="B862" s="122"/>
      <c r="C862" s="123"/>
      <c r="D862" s="123"/>
      <c r="E862" s="123"/>
    </row>
    <row r="863" spans="1:5" ht="13" x14ac:dyDescent="0.6">
      <c r="A863" s="122"/>
      <c r="B863" s="122"/>
      <c r="C863" s="123"/>
      <c r="D863" s="123"/>
      <c r="E863" s="123"/>
    </row>
    <row r="864" spans="1:5" ht="13" x14ac:dyDescent="0.6">
      <c r="A864" s="122"/>
      <c r="B864" s="122"/>
      <c r="C864" s="123"/>
      <c r="D864" s="123"/>
      <c r="E864" s="123"/>
    </row>
    <row r="865" spans="1:5" ht="13" x14ac:dyDescent="0.6">
      <c r="A865" s="122"/>
      <c r="B865" s="122"/>
      <c r="C865" s="123"/>
      <c r="D865" s="123"/>
      <c r="E865" s="123"/>
    </row>
    <row r="866" spans="1:5" ht="13" x14ac:dyDescent="0.6">
      <c r="A866" s="122"/>
      <c r="B866" s="122"/>
      <c r="C866" s="123"/>
      <c r="D866" s="123"/>
      <c r="E866" s="123"/>
    </row>
    <row r="867" spans="1:5" ht="13" x14ac:dyDescent="0.6">
      <c r="A867" s="122"/>
      <c r="B867" s="122"/>
      <c r="C867" s="123"/>
      <c r="D867" s="123"/>
      <c r="E867" s="123"/>
    </row>
    <row r="868" spans="1:5" ht="13" x14ac:dyDescent="0.6">
      <c r="A868" s="122"/>
      <c r="B868" s="122"/>
      <c r="C868" s="123"/>
      <c r="D868" s="123"/>
      <c r="E868" s="123"/>
    </row>
    <row r="869" spans="1:5" ht="13" x14ac:dyDescent="0.6">
      <c r="A869" s="122"/>
      <c r="B869" s="122"/>
      <c r="C869" s="123"/>
      <c r="D869" s="123"/>
      <c r="E869" s="123"/>
    </row>
    <row r="870" spans="1:5" ht="13" x14ac:dyDescent="0.6">
      <c r="A870" s="122"/>
      <c r="B870" s="122"/>
      <c r="C870" s="123"/>
      <c r="D870" s="123"/>
      <c r="E870" s="123"/>
    </row>
    <row r="871" spans="1:5" ht="13" x14ac:dyDescent="0.6">
      <c r="A871" s="122"/>
      <c r="B871" s="122"/>
      <c r="C871" s="123"/>
      <c r="D871" s="123"/>
      <c r="E871" s="123"/>
    </row>
    <row r="872" spans="1:5" ht="13" x14ac:dyDescent="0.6">
      <c r="A872" s="122"/>
      <c r="B872" s="122"/>
      <c r="C872" s="123"/>
      <c r="D872" s="123"/>
      <c r="E872" s="123"/>
    </row>
    <row r="873" spans="1:5" ht="13" x14ac:dyDescent="0.6">
      <c r="A873" s="122"/>
      <c r="B873" s="122"/>
      <c r="C873" s="123"/>
      <c r="D873" s="123"/>
      <c r="E873" s="123"/>
    </row>
    <row r="874" spans="1:5" ht="13" x14ac:dyDescent="0.6">
      <c r="A874" s="122"/>
      <c r="B874" s="122"/>
      <c r="C874" s="123"/>
      <c r="D874" s="123"/>
      <c r="E874" s="123"/>
    </row>
    <row r="875" spans="1:5" ht="13" x14ac:dyDescent="0.6">
      <c r="A875" s="122"/>
      <c r="B875" s="122"/>
      <c r="C875" s="123"/>
      <c r="D875" s="123"/>
      <c r="E875" s="123"/>
    </row>
    <row r="876" spans="1:5" ht="13" x14ac:dyDescent="0.6">
      <c r="A876" s="122"/>
      <c r="B876" s="122"/>
      <c r="C876" s="123"/>
      <c r="D876" s="123"/>
      <c r="E876" s="123"/>
    </row>
    <row r="877" spans="1:5" ht="13" x14ac:dyDescent="0.6">
      <c r="A877" s="122"/>
      <c r="B877" s="122"/>
      <c r="C877" s="123"/>
      <c r="D877" s="123"/>
      <c r="E877" s="123"/>
    </row>
    <row r="878" spans="1:5" ht="13" x14ac:dyDescent="0.6">
      <c r="A878" s="122"/>
      <c r="B878" s="122"/>
      <c r="C878" s="123"/>
      <c r="D878" s="123"/>
      <c r="E878" s="123"/>
    </row>
    <row r="879" spans="1:5" ht="13" x14ac:dyDescent="0.6">
      <c r="A879" s="122"/>
      <c r="B879" s="122"/>
      <c r="C879" s="123"/>
      <c r="D879" s="123"/>
      <c r="E879" s="123"/>
    </row>
    <row r="880" spans="1:5" ht="13" x14ac:dyDescent="0.6">
      <c r="A880" s="122"/>
      <c r="B880" s="122"/>
      <c r="C880" s="123"/>
      <c r="D880" s="123"/>
      <c r="E880" s="123"/>
    </row>
    <row r="881" spans="1:5" ht="13" x14ac:dyDescent="0.6">
      <c r="A881" s="122"/>
      <c r="B881" s="122"/>
      <c r="C881" s="123"/>
      <c r="D881" s="123"/>
      <c r="E881" s="123"/>
    </row>
    <row r="882" spans="1:5" ht="13" x14ac:dyDescent="0.6">
      <c r="A882" s="122"/>
      <c r="B882" s="122"/>
      <c r="C882" s="123"/>
      <c r="D882" s="123"/>
      <c r="E882" s="123"/>
    </row>
    <row r="883" spans="1:5" ht="13" x14ac:dyDescent="0.6">
      <c r="A883" s="122"/>
      <c r="B883" s="122"/>
      <c r="C883" s="123"/>
      <c r="D883" s="123"/>
      <c r="E883" s="123"/>
    </row>
    <row r="884" spans="1:5" ht="13" x14ac:dyDescent="0.6">
      <c r="A884" s="122"/>
      <c r="B884" s="122"/>
      <c r="C884" s="123"/>
      <c r="D884" s="123"/>
      <c r="E884" s="123"/>
    </row>
    <row r="885" spans="1:5" ht="13" x14ac:dyDescent="0.6">
      <c r="A885" s="122"/>
      <c r="B885" s="122"/>
      <c r="C885" s="123"/>
      <c r="D885" s="123"/>
      <c r="E885" s="123"/>
    </row>
    <row r="886" spans="1:5" ht="13" x14ac:dyDescent="0.6">
      <c r="A886" s="122"/>
      <c r="B886" s="122"/>
      <c r="C886" s="123"/>
      <c r="D886" s="123"/>
      <c r="E886" s="123"/>
    </row>
    <row r="887" spans="1:5" ht="13" x14ac:dyDescent="0.6">
      <c r="A887" s="122"/>
      <c r="B887" s="122"/>
      <c r="C887" s="123"/>
      <c r="D887" s="123"/>
      <c r="E887" s="123"/>
    </row>
    <row r="888" spans="1:5" ht="13" x14ac:dyDescent="0.6">
      <c r="A888" s="122"/>
      <c r="B888" s="122"/>
      <c r="C888" s="123"/>
      <c r="D888" s="123"/>
      <c r="E888" s="123"/>
    </row>
    <row r="889" spans="1:5" ht="13" x14ac:dyDescent="0.6">
      <c r="A889" s="122"/>
      <c r="B889" s="122"/>
      <c r="C889" s="123"/>
      <c r="D889" s="123"/>
      <c r="E889" s="123"/>
    </row>
    <row r="890" spans="1:5" ht="13" x14ac:dyDescent="0.6">
      <c r="A890" s="122"/>
      <c r="B890" s="122"/>
      <c r="C890" s="123"/>
      <c r="D890" s="123"/>
      <c r="E890" s="123"/>
    </row>
    <row r="891" spans="1:5" ht="13" x14ac:dyDescent="0.6">
      <c r="A891" s="122"/>
      <c r="B891" s="122"/>
      <c r="C891" s="123"/>
      <c r="D891" s="123"/>
      <c r="E891" s="123"/>
    </row>
    <row r="892" spans="1:5" ht="13" x14ac:dyDescent="0.6">
      <c r="A892" s="122"/>
      <c r="B892" s="122"/>
      <c r="C892" s="123"/>
      <c r="D892" s="123"/>
      <c r="E892" s="123"/>
    </row>
    <row r="893" spans="1:5" ht="13" x14ac:dyDescent="0.6">
      <c r="A893" s="122"/>
      <c r="B893" s="122"/>
      <c r="C893" s="123"/>
      <c r="D893" s="123"/>
      <c r="E893" s="123"/>
    </row>
    <row r="894" spans="1:5" ht="13" x14ac:dyDescent="0.6">
      <c r="A894" s="122"/>
      <c r="B894" s="122"/>
      <c r="C894" s="123"/>
      <c r="D894" s="123"/>
      <c r="E894" s="123"/>
    </row>
    <row r="895" spans="1:5" ht="13" x14ac:dyDescent="0.6">
      <c r="A895" s="122"/>
      <c r="B895" s="122"/>
      <c r="C895" s="123"/>
      <c r="D895" s="123"/>
      <c r="E895" s="123"/>
    </row>
    <row r="896" spans="1:5" ht="13" x14ac:dyDescent="0.6">
      <c r="A896" s="122"/>
      <c r="B896" s="122"/>
      <c r="C896" s="123"/>
      <c r="D896" s="123"/>
      <c r="E896" s="123"/>
    </row>
    <row r="897" spans="1:5" ht="13" x14ac:dyDescent="0.6">
      <c r="A897" s="122"/>
      <c r="B897" s="122"/>
      <c r="C897" s="123"/>
      <c r="D897" s="123"/>
      <c r="E897" s="123"/>
    </row>
    <row r="898" spans="1:5" ht="13" x14ac:dyDescent="0.6">
      <c r="A898" s="122"/>
      <c r="B898" s="122"/>
      <c r="C898" s="123"/>
      <c r="D898" s="123"/>
      <c r="E898" s="123"/>
    </row>
    <row r="899" spans="1:5" ht="13" x14ac:dyDescent="0.6">
      <c r="A899" s="122"/>
      <c r="B899" s="122"/>
      <c r="C899" s="123"/>
      <c r="D899" s="123"/>
      <c r="E899" s="123"/>
    </row>
    <row r="900" spans="1:5" ht="13" x14ac:dyDescent="0.6">
      <c r="A900" s="122"/>
      <c r="B900" s="122"/>
      <c r="C900" s="123"/>
      <c r="D900" s="123"/>
      <c r="E900" s="123"/>
    </row>
    <row r="901" spans="1:5" ht="13" x14ac:dyDescent="0.6">
      <c r="A901" s="122"/>
      <c r="B901" s="122"/>
      <c r="C901" s="123"/>
      <c r="D901" s="123"/>
      <c r="E901" s="123"/>
    </row>
    <row r="902" spans="1:5" ht="13" x14ac:dyDescent="0.6">
      <c r="A902" s="122"/>
      <c r="B902" s="122"/>
      <c r="C902" s="123"/>
      <c r="D902" s="123"/>
      <c r="E902" s="123"/>
    </row>
    <row r="903" spans="1:5" ht="13" x14ac:dyDescent="0.6">
      <c r="A903" s="122"/>
      <c r="B903" s="122"/>
      <c r="C903" s="123"/>
      <c r="D903" s="123"/>
      <c r="E903" s="123"/>
    </row>
    <row r="904" spans="1:5" ht="13" x14ac:dyDescent="0.6">
      <c r="A904" s="122"/>
      <c r="B904" s="122"/>
      <c r="C904" s="123"/>
      <c r="D904" s="123"/>
      <c r="E904" s="123"/>
    </row>
    <row r="905" spans="1:5" ht="13" x14ac:dyDescent="0.6">
      <c r="A905" s="122"/>
      <c r="B905" s="122"/>
      <c r="C905" s="123"/>
      <c r="D905" s="123"/>
      <c r="E905" s="123"/>
    </row>
    <row r="906" spans="1:5" ht="13" x14ac:dyDescent="0.6">
      <c r="A906" s="122"/>
      <c r="B906" s="122"/>
      <c r="C906" s="123"/>
      <c r="D906" s="123"/>
      <c r="E906" s="123"/>
    </row>
    <row r="907" spans="1:5" ht="13" x14ac:dyDescent="0.6">
      <c r="A907" s="122"/>
      <c r="B907" s="122"/>
      <c r="C907" s="123"/>
      <c r="D907" s="123"/>
      <c r="E907" s="123"/>
    </row>
    <row r="908" spans="1:5" ht="13" x14ac:dyDescent="0.6">
      <c r="A908" s="122"/>
      <c r="B908" s="122"/>
      <c r="C908" s="123"/>
      <c r="D908" s="123"/>
      <c r="E908" s="123"/>
    </row>
    <row r="909" spans="1:5" ht="13" x14ac:dyDescent="0.6">
      <c r="A909" s="122"/>
      <c r="B909" s="122"/>
      <c r="C909" s="123"/>
      <c r="D909" s="123"/>
      <c r="E909" s="123"/>
    </row>
    <row r="910" spans="1:5" ht="13" x14ac:dyDescent="0.6">
      <c r="A910" s="122"/>
      <c r="B910" s="122"/>
      <c r="C910" s="123"/>
      <c r="D910" s="123"/>
      <c r="E910" s="123"/>
    </row>
    <row r="911" spans="1:5" ht="13" x14ac:dyDescent="0.6">
      <c r="A911" s="122"/>
      <c r="B911" s="122"/>
      <c r="C911" s="123"/>
      <c r="D911" s="123"/>
      <c r="E911" s="123"/>
    </row>
    <row r="912" spans="1:5" ht="13" x14ac:dyDescent="0.6">
      <c r="A912" s="122"/>
      <c r="B912" s="122"/>
      <c r="C912" s="123"/>
      <c r="D912" s="123"/>
      <c r="E912" s="123"/>
    </row>
    <row r="913" spans="1:5" ht="13" x14ac:dyDescent="0.6">
      <c r="A913" s="122"/>
      <c r="B913" s="122"/>
      <c r="C913" s="123"/>
      <c r="D913" s="123"/>
      <c r="E913" s="123"/>
    </row>
    <row r="914" spans="1:5" ht="13" x14ac:dyDescent="0.6">
      <c r="A914" s="122"/>
      <c r="B914" s="122"/>
      <c r="C914" s="123"/>
      <c r="D914" s="123"/>
      <c r="E914" s="123"/>
    </row>
    <row r="915" spans="1:5" ht="13" x14ac:dyDescent="0.6">
      <c r="A915" s="122"/>
      <c r="B915" s="122"/>
      <c r="C915" s="123"/>
      <c r="D915" s="123"/>
      <c r="E915" s="123"/>
    </row>
    <row r="916" spans="1:5" ht="13" x14ac:dyDescent="0.6">
      <c r="A916" s="122"/>
      <c r="B916" s="122"/>
      <c r="C916" s="123"/>
      <c r="D916" s="123"/>
      <c r="E916" s="123"/>
    </row>
    <row r="917" spans="1:5" ht="13" x14ac:dyDescent="0.6">
      <c r="A917" s="122"/>
      <c r="B917" s="122"/>
      <c r="C917" s="123"/>
      <c r="D917" s="123"/>
      <c r="E917" s="123"/>
    </row>
    <row r="918" spans="1:5" ht="13" x14ac:dyDescent="0.6">
      <c r="A918" s="122"/>
      <c r="B918" s="122"/>
      <c r="C918" s="123"/>
      <c r="D918" s="123"/>
      <c r="E918" s="123"/>
    </row>
    <row r="919" spans="1:5" ht="13" x14ac:dyDescent="0.6">
      <c r="A919" s="122"/>
      <c r="B919" s="122"/>
      <c r="C919" s="123"/>
      <c r="D919" s="123"/>
      <c r="E919" s="123"/>
    </row>
    <row r="920" spans="1:5" ht="13" x14ac:dyDescent="0.6">
      <c r="A920" s="122"/>
      <c r="B920" s="122"/>
      <c r="C920" s="123"/>
      <c r="D920" s="123"/>
      <c r="E920" s="123"/>
    </row>
    <row r="921" spans="1:5" ht="13" x14ac:dyDescent="0.6">
      <c r="A921" s="122"/>
      <c r="B921" s="122"/>
      <c r="C921" s="123"/>
      <c r="D921" s="123"/>
      <c r="E921" s="123"/>
    </row>
    <row r="922" spans="1:5" ht="13" x14ac:dyDescent="0.6">
      <c r="A922" s="122"/>
      <c r="B922" s="122"/>
      <c r="C922" s="123"/>
      <c r="D922" s="123"/>
      <c r="E922" s="123"/>
    </row>
    <row r="923" spans="1:5" ht="13" x14ac:dyDescent="0.6">
      <c r="A923" s="122"/>
      <c r="B923" s="122"/>
      <c r="C923" s="123"/>
      <c r="D923" s="123"/>
      <c r="E923" s="123"/>
    </row>
    <row r="924" spans="1:5" ht="13" x14ac:dyDescent="0.6">
      <c r="A924" s="122"/>
      <c r="B924" s="122"/>
      <c r="C924" s="123"/>
      <c r="D924" s="123"/>
      <c r="E924" s="123"/>
    </row>
    <row r="925" spans="1:5" ht="13" x14ac:dyDescent="0.6">
      <c r="A925" s="122"/>
      <c r="B925" s="122"/>
      <c r="C925" s="123"/>
      <c r="D925" s="123"/>
      <c r="E925" s="123"/>
    </row>
    <row r="926" spans="1:5" ht="13" x14ac:dyDescent="0.6">
      <c r="A926" s="122"/>
      <c r="B926" s="122"/>
      <c r="C926" s="123"/>
      <c r="D926" s="123"/>
      <c r="E926" s="123"/>
    </row>
    <row r="927" spans="1:5" ht="13" x14ac:dyDescent="0.6">
      <c r="A927" s="122"/>
      <c r="B927" s="122"/>
      <c r="C927" s="123"/>
      <c r="D927" s="123"/>
      <c r="E927" s="123"/>
    </row>
    <row r="928" spans="1:5" ht="13" x14ac:dyDescent="0.6">
      <c r="A928" s="122"/>
      <c r="B928" s="122"/>
      <c r="C928" s="123"/>
      <c r="D928" s="123"/>
      <c r="E928" s="123"/>
    </row>
    <row r="929" spans="1:5" ht="13" x14ac:dyDescent="0.6">
      <c r="A929" s="122"/>
      <c r="B929" s="122"/>
      <c r="C929" s="123"/>
      <c r="D929" s="123"/>
      <c r="E929" s="123"/>
    </row>
    <row r="930" spans="1:5" ht="13" x14ac:dyDescent="0.6">
      <c r="A930" s="122"/>
      <c r="B930" s="122"/>
      <c r="C930" s="123"/>
      <c r="D930" s="123"/>
      <c r="E930" s="123"/>
    </row>
    <row r="931" spans="1:5" ht="13" x14ac:dyDescent="0.6">
      <c r="A931" s="122"/>
      <c r="B931" s="122"/>
      <c r="C931" s="123"/>
      <c r="D931" s="123"/>
      <c r="E931" s="123"/>
    </row>
    <row r="932" spans="1:5" ht="13" x14ac:dyDescent="0.6">
      <c r="A932" s="122"/>
      <c r="B932" s="122"/>
      <c r="C932" s="123"/>
      <c r="D932" s="123"/>
      <c r="E932" s="123"/>
    </row>
    <row r="933" spans="1:5" ht="13" x14ac:dyDescent="0.6">
      <c r="A933" s="122"/>
      <c r="B933" s="122"/>
      <c r="C933" s="123"/>
      <c r="D933" s="123"/>
      <c r="E933" s="123"/>
    </row>
    <row r="934" spans="1:5" ht="13" x14ac:dyDescent="0.6">
      <c r="A934" s="122"/>
      <c r="B934" s="122"/>
      <c r="C934" s="123"/>
      <c r="D934" s="123"/>
      <c r="E934" s="123"/>
    </row>
    <row r="935" spans="1:5" ht="13" x14ac:dyDescent="0.6">
      <c r="A935" s="122"/>
      <c r="B935" s="122"/>
      <c r="C935" s="123"/>
      <c r="D935" s="123"/>
      <c r="E935" s="123"/>
    </row>
    <row r="936" spans="1:5" ht="13" x14ac:dyDescent="0.6">
      <c r="A936" s="122"/>
      <c r="B936" s="122"/>
      <c r="C936" s="123"/>
      <c r="D936" s="123"/>
      <c r="E936" s="123"/>
    </row>
    <row r="937" spans="1:5" ht="13" x14ac:dyDescent="0.6">
      <c r="A937" s="122"/>
      <c r="B937" s="122"/>
      <c r="C937" s="123"/>
      <c r="D937" s="123"/>
      <c r="E937" s="123"/>
    </row>
    <row r="938" spans="1:5" ht="13" x14ac:dyDescent="0.6">
      <c r="A938" s="122"/>
      <c r="B938" s="122"/>
      <c r="C938" s="123"/>
      <c r="D938" s="123"/>
      <c r="E938" s="123"/>
    </row>
    <row r="939" spans="1:5" ht="13" x14ac:dyDescent="0.6">
      <c r="A939" s="122"/>
      <c r="B939" s="122"/>
      <c r="C939" s="123"/>
      <c r="D939" s="123"/>
      <c r="E939" s="123"/>
    </row>
    <row r="940" spans="1:5" ht="13" x14ac:dyDescent="0.6">
      <c r="A940" s="122"/>
      <c r="B940" s="122"/>
      <c r="C940" s="123"/>
      <c r="D940" s="123"/>
      <c r="E940" s="123"/>
    </row>
    <row r="941" spans="1:5" ht="13" x14ac:dyDescent="0.6">
      <c r="A941" s="122"/>
      <c r="B941" s="122"/>
      <c r="C941" s="123"/>
      <c r="D941" s="123"/>
      <c r="E941" s="123"/>
    </row>
    <row r="942" spans="1:5" ht="13" x14ac:dyDescent="0.6">
      <c r="A942" s="122"/>
      <c r="B942" s="122"/>
      <c r="C942" s="123"/>
      <c r="D942" s="123"/>
      <c r="E942" s="123"/>
    </row>
    <row r="943" spans="1:5" ht="13" x14ac:dyDescent="0.6">
      <c r="A943" s="122"/>
      <c r="B943" s="122"/>
      <c r="C943" s="123"/>
      <c r="D943" s="123"/>
      <c r="E943" s="123"/>
    </row>
    <row r="944" spans="1:5" ht="13" x14ac:dyDescent="0.6">
      <c r="A944" s="122"/>
      <c r="B944" s="122"/>
      <c r="C944" s="123"/>
      <c r="D944" s="123"/>
      <c r="E944" s="123"/>
    </row>
    <row r="945" spans="1:5" ht="13" x14ac:dyDescent="0.6">
      <c r="A945" s="122"/>
      <c r="B945" s="122"/>
      <c r="C945" s="123"/>
      <c r="D945" s="123"/>
      <c r="E945" s="123"/>
    </row>
    <row r="946" spans="1:5" ht="13" x14ac:dyDescent="0.6">
      <c r="A946" s="122"/>
      <c r="B946" s="122"/>
      <c r="C946" s="123"/>
      <c r="D946" s="123"/>
      <c r="E946" s="123"/>
    </row>
    <row r="947" spans="1:5" ht="13" x14ac:dyDescent="0.6">
      <c r="A947" s="122"/>
      <c r="B947" s="122"/>
      <c r="C947" s="123"/>
      <c r="D947" s="123"/>
      <c r="E947" s="123"/>
    </row>
    <row r="948" spans="1:5" ht="13" x14ac:dyDescent="0.6">
      <c r="A948" s="122"/>
      <c r="B948" s="122"/>
      <c r="C948" s="123"/>
      <c r="D948" s="123"/>
      <c r="E948" s="123"/>
    </row>
    <row r="949" spans="1:5" ht="13" x14ac:dyDescent="0.6">
      <c r="A949" s="122"/>
      <c r="B949" s="122"/>
      <c r="C949" s="123"/>
      <c r="D949" s="123"/>
      <c r="E949" s="123"/>
    </row>
    <row r="950" spans="1:5" ht="13" x14ac:dyDescent="0.6">
      <c r="A950" s="122"/>
      <c r="B950" s="122"/>
      <c r="C950" s="123"/>
      <c r="D950" s="123"/>
      <c r="E950" s="123"/>
    </row>
    <row r="951" spans="1:5" ht="13" x14ac:dyDescent="0.6">
      <c r="A951" s="122"/>
      <c r="B951" s="122"/>
      <c r="C951" s="123"/>
      <c r="D951" s="123"/>
      <c r="E951" s="123"/>
    </row>
    <row r="952" spans="1:5" ht="13" x14ac:dyDescent="0.6">
      <c r="A952" s="122"/>
      <c r="B952" s="122"/>
      <c r="C952" s="123"/>
      <c r="D952" s="123"/>
      <c r="E952" s="123"/>
    </row>
    <row r="953" spans="1:5" ht="13" x14ac:dyDescent="0.6">
      <c r="A953" s="122"/>
      <c r="B953" s="122"/>
      <c r="C953" s="123"/>
      <c r="D953" s="123"/>
      <c r="E953" s="123"/>
    </row>
    <row r="954" spans="1:5" ht="13" x14ac:dyDescent="0.6">
      <c r="A954" s="122"/>
      <c r="B954" s="122"/>
      <c r="C954" s="123"/>
      <c r="D954" s="123"/>
      <c r="E954" s="123"/>
    </row>
    <row r="955" spans="1:5" ht="13" x14ac:dyDescent="0.6">
      <c r="A955" s="122"/>
      <c r="B955" s="122"/>
      <c r="C955" s="123"/>
      <c r="D955" s="123"/>
      <c r="E955" s="123"/>
    </row>
    <row r="956" spans="1:5" ht="13" x14ac:dyDescent="0.6">
      <c r="A956" s="122"/>
      <c r="B956" s="122"/>
      <c r="C956" s="123"/>
      <c r="D956" s="123"/>
      <c r="E956" s="123"/>
    </row>
    <row r="957" spans="1:5" ht="13" x14ac:dyDescent="0.6">
      <c r="A957" s="122"/>
      <c r="B957" s="122"/>
      <c r="C957" s="123"/>
      <c r="D957" s="123"/>
      <c r="E957" s="123"/>
    </row>
    <row r="958" spans="1:5" ht="13" x14ac:dyDescent="0.6">
      <c r="A958" s="122"/>
      <c r="B958" s="122"/>
      <c r="C958" s="123"/>
      <c r="D958" s="123"/>
      <c r="E958" s="123"/>
    </row>
    <row r="959" spans="1:5" ht="13" x14ac:dyDescent="0.6">
      <c r="A959" s="122"/>
      <c r="B959" s="122"/>
      <c r="C959" s="123"/>
      <c r="D959" s="123"/>
      <c r="E959" s="123"/>
    </row>
    <row r="960" spans="1:5" ht="13" x14ac:dyDescent="0.6">
      <c r="A960" s="122"/>
      <c r="B960" s="122"/>
      <c r="C960" s="123"/>
      <c r="D960" s="123"/>
      <c r="E960" s="123"/>
    </row>
    <row r="961" spans="1:5" ht="13" x14ac:dyDescent="0.6">
      <c r="A961" s="122"/>
      <c r="B961" s="122"/>
      <c r="C961" s="123"/>
      <c r="D961" s="123"/>
      <c r="E961" s="123"/>
    </row>
    <row r="962" spans="1:5" ht="13" x14ac:dyDescent="0.6">
      <c r="A962" s="122"/>
      <c r="B962" s="122"/>
      <c r="C962" s="123"/>
      <c r="D962" s="123"/>
      <c r="E962" s="123"/>
    </row>
    <row r="963" spans="1:5" ht="13" x14ac:dyDescent="0.6">
      <c r="A963" s="122"/>
      <c r="B963" s="122"/>
      <c r="C963" s="123"/>
      <c r="D963" s="123"/>
      <c r="E963" s="123"/>
    </row>
    <row r="964" spans="1:5" ht="13" x14ac:dyDescent="0.6">
      <c r="A964" s="122"/>
      <c r="B964" s="122"/>
      <c r="C964" s="123"/>
      <c r="D964" s="123"/>
      <c r="E964" s="123"/>
    </row>
    <row r="965" spans="1:5" ht="13" x14ac:dyDescent="0.6">
      <c r="A965" s="122"/>
      <c r="B965" s="122"/>
      <c r="C965" s="123"/>
      <c r="D965" s="123"/>
      <c r="E965" s="123"/>
    </row>
    <row r="966" spans="1:5" ht="13" x14ac:dyDescent="0.6">
      <c r="A966" s="122"/>
      <c r="B966" s="122"/>
      <c r="C966" s="123"/>
      <c r="D966" s="123"/>
      <c r="E966" s="123"/>
    </row>
    <row r="967" spans="1:5" ht="13" x14ac:dyDescent="0.6">
      <c r="A967" s="122"/>
      <c r="B967" s="122"/>
      <c r="C967" s="123"/>
      <c r="D967" s="123"/>
      <c r="E967" s="123"/>
    </row>
    <row r="968" spans="1:5" ht="13" x14ac:dyDescent="0.6">
      <c r="A968" s="122"/>
      <c r="B968" s="122"/>
      <c r="C968" s="123"/>
      <c r="D968" s="123"/>
      <c r="E968" s="123"/>
    </row>
    <row r="969" spans="1:5" ht="13" x14ac:dyDescent="0.6">
      <c r="A969" s="122"/>
      <c r="B969" s="122"/>
      <c r="C969" s="123"/>
      <c r="D969" s="123"/>
      <c r="E969" s="123"/>
    </row>
    <row r="970" spans="1:5" ht="13" x14ac:dyDescent="0.6">
      <c r="A970" s="122"/>
      <c r="B970" s="122"/>
      <c r="C970" s="123"/>
      <c r="D970" s="123"/>
      <c r="E970" s="123"/>
    </row>
    <row r="971" spans="1:5" ht="13" x14ac:dyDescent="0.6">
      <c r="A971" s="122"/>
      <c r="B971" s="122"/>
      <c r="C971" s="123"/>
      <c r="D971" s="123"/>
      <c r="E971" s="123"/>
    </row>
    <row r="972" spans="1:5" ht="13" x14ac:dyDescent="0.6">
      <c r="A972" s="122"/>
      <c r="B972" s="122"/>
      <c r="C972" s="123"/>
      <c r="D972" s="123"/>
      <c r="E972" s="123"/>
    </row>
    <row r="973" spans="1:5" ht="13" x14ac:dyDescent="0.6">
      <c r="A973" s="122"/>
      <c r="B973" s="122"/>
      <c r="C973" s="123"/>
      <c r="D973" s="123"/>
      <c r="E973" s="123"/>
    </row>
    <row r="974" spans="1:5" ht="13" x14ac:dyDescent="0.6">
      <c r="A974" s="122"/>
      <c r="B974" s="122"/>
      <c r="C974" s="123"/>
      <c r="D974" s="123"/>
      <c r="E974" s="123"/>
    </row>
    <row r="975" spans="1:5" ht="13" x14ac:dyDescent="0.6">
      <c r="A975" s="122"/>
      <c r="B975" s="122"/>
      <c r="C975" s="123"/>
      <c r="D975" s="123"/>
      <c r="E975" s="123"/>
    </row>
    <row r="976" spans="1:5" ht="13" x14ac:dyDescent="0.6">
      <c r="A976" s="122"/>
      <c r="B976" s="122"/>
      <c r="C976" s="123"/>
      <c r="D976" s="123"/>
      <c r="E976" s="123"/>
    </row>
    <row r="977" spans="1:5" ht="13" x14ac:dyDescent="0.6">
      <c r="A977" s="122"/>
      <c r="B977" s="122"/>
      <c r="C977" s="123"/>
      <c r="D977" s="123"/>
      <c r="E977" s="123"/>
    </row>
    <row r="978" spans="1:5" ht="13" x14ac:dyDescent="0.6">
      <c r="A978" s="122"/>
      <c r="B978" s="122"/>
      <c r="C978" s="123"/>
      <c r="D978" s="123"/>
      <c r="E978" s="123"/>
    </row>
    <row r="979" spans="1:5" ht="13" x14ac:dyDescent="0.6">
      <c r="A979" s="122"/>
      <c r="B979" s="122"/>
      <c r="C979" s="123"/>
      <c r="D979" s="123"/>
      <c r="E979" s="123"/>
    </row>
    <row r="980" spans="1:5" ht="13" x14ac:dyDescent="0.6">
      <c r="A980" s="122"/>
      <c r="B980" s="122"/>
      <c r="C980" s="123"/>
      <c r="D980" s="123"/>
      <c r="E980" s="123"/>
    </row>
    <row r="981" spans="1:5" ht="13" x14ac:dyDescent="0.6">
      <c r="A981" s="122"/>
      <c r="B981" s="122"/>
      <c r="C981" s="123"/>
      <c r="D981" s="123"/>
      <c r="E981" s="123"/>
    </row>
    <row r="982" spans="1:5" ht="13" x14ac:dyDescent="0.6">
      <c r="A982" s="122"/>
      <c r="B982" s="122"/>
      <c r="C982" s="123"/>
      <c r="D982" s="123"/>
      <c r="E982" s="123"/>
    </row>
    <row r="983" spans="1:5" ht="13" x14ac:dyDescent="0.6">
      <c r="A983" s="122"/>
      <c r="B983" s="122"/>
      <c r="C983" s="123"/>
      <c r="D983" s="123"/>
      <c r="E983" s="123"/>
    </row>
    <row r="984" spans="1:5" ht="13" x14ac:dyDescent="0.6">
      <c r="A984" s="122"/>
      <c r="B984" s="122"/>
      <c r="C984" s="123"/>
      <c r="D984" s="123"/>
      <c r="E984" s="123"/>
    </row>
    <row r="985" spans="1:5" ht="13" x14ac:dyDescent="0.6">
      <c r="A985" s="122"/>
      <c r="B985" s="122"/>
      <c r="C985" s="123"/>
      <c r="D985" s="123"/>
      <c r="E985" s="123"/>
    </row>
    <row r="986" spans="1:5" ht="13" x14ac:dyDescent="0.6">
      <c r="A986" s="122"/>
      <c r="B986" s="122"/>
      <c r="C986" s="123"/>
      <c r="D986" s="123"/>
      <c r="E986" s="123"/>
    </row>
    <row r="987" spans="1:5" ht="13" x14ac:dyDescent="0.6">
      <c r="A987" s="122"/>
      <c r="B987" s="122"/>
      <c r="C987" s="123"/>
      <c r="D987" s="123"/>
      <c r="E987" s="123"/>
    </row>
    <row r="988" spans="1:5" ht="13" x14ac:dyDescent="0.6">
      <c r="A988" s="122"/>
      <c r="B988" s="122"/>
      <c r="C988" s="123"/>
      <c r="D988" s="123"/>
      <c r="E988" s="123"/>
    </row>
    <row r="989" spans="1:5" ht="13" x14ac:dyDescent="0.6">
      <c r="A989" s="122"/>
      <c r="B989" s="122"/>
      <c r="C989" s="123"/>
      <c r="D989" s="123"/>
      <c r="E989" s="123"/>
    </row>
    <row r="990" spans="1:5" ht="13" x14ac:dyDescent="0.6">
      <c r="A990" s="122"/>
      <c r="B990" s="122"/>
      <c r="C990" s="123"/>
      <c r="D990" s="123"/>
      <c r="E990" s="123"/>
    </row>
    <row r="991" spans="1:5" ht="13" x14ac:dyDescent="0.6">
      <c r="A991" s="122"/>
      <c r="B991" s="122"/>
      <c r="C991" s="123"/>
      <c r="D991" s="123"/>
      <c r="E991" s="123"/>
    </row>
    <row r="992" spans="1:5" ht="13" x14ac:dyDescent="0.6">
      <c r="A992" s="122"/>
      <c r="B992" s="122"/>
      <c r="C992" s="123"/>
      <c r="D992" s="123"/>
      <c r="E992" s="123"/>
    </row>
    <row r="993" spans="1:5" ht="13" x14ac:dyDescent="0.6">
      <c r="A993" s="122"/>
      <c r="B993" s="122"/>
      <c r="C993" s="123"/>
      <c r="D993" s="123"/>
      <c r="E993" s="123"/>
    </row>
    <row r="994" spans="1:5" ht="13" x14ac:dyDescent="0.6">
      <c r="A994" s="122"/>
      <c r="B994" s="122"/>
      <c r="C994" s="123"/>
      <c r="D994" s="123"/>
      <c r="E994" s="123"/>
    </row>
    <row r="995" spans="1:5" ht="13" x14ac:dyDescent="0.6">
      <c r="A995" s="122"/>
      <c r="B995" s="122"/>
      <c r="C995" s="123"/>
      <c r="D995" s="123"/>
      <c r="E995" s="123"/>
    </row>
    <row r="996" spans="1:5" ht="13" x14ac:dyDescent="0.6">
      <c r="A996" s="122"/>
      <c r="B996" s="122"/>
      <c r="C996" s="123"/>
      <c r="D996" s="123"/>
      <c r="E996" s="123"/>
    </row>
    <row r="997" spans="1:5" ht="13" x14ac:dyDescent="0.6">
      <c r="A997" s="122"/>
      <c r="B997" s="122"/>
      <c r="C997" s="123"/>
      <c r="D997" s="123"/>
      <c r="E997" s="123"/>
    </row>
    <row r="998" spans="1:5" ht="13" x14ac:dyDescent="0.6">
      <c r="A998" s="122"/>
      <c r="B998" s="122"/>
      <c r="C998" s="123"/>
      <c r="D998" s="123"/>
      <c r="E998" s="123"/>
    </row>
    <row r="999" spans="1:5" ht="13" x14ac:dyDescent="0.6">
      <c r="A999" s="122"/>
      <c r="B999" s="122"/>
      <c r="C999" s="123"/>
      <c r="D999" s="123"/>
      <c r="E999" s="123"/>
    </row>
    <row r="1000" spans="1:5" ht="13" x14ac:dyDescent="0.6">
      <c r="A1000" s="122"/>
      <c r="B1000" s="122"/>
      <c r="C1000" s="123"/>
      <c r="D1000" s="123"/>
      <c r="E1000" s="123"/>
    </row>
  </sheetData>
  <autoFilter ref="A3:H280" xr:uid="{00000000-0009-0000-0000-000000000000}"/>
  <mergeCells count="1">
    <mergeCell ref="A1:H1"/>
  </mergeCells>
  <conditionalFormatting sqref="E10:E11">
    <cfRule type="cellIs" dxfId="56" priority="43" operator="notEqual">
      <formula>"No"</formula>
    </cfRule>
  </conditionalFormatting>
  <conditionalFormatting sqref="E19">
    <cfRule type="cellIs" dxfId="55" priority="42" operator="notEqual">
      <formula>"No"</formula>
    </cfRule>
  </conditionalFormatting>
  <conditionalFormatting sqref="E24">
    <cfRule type="cellIs" dxfId="54" priority="41" operator="notEqual">
      <formula>"No"</formula>
    </cfRule>
  </conditionalFormatting>
  <conditionalFormatting sqref="E29:E33">
    <cfRule type="cellIs" dxfId="53" priority="40" operator="notEqual">
      <formula>"No"</formula>
    </cfRule>
  </conditionalFormatting>
  <conditionalFormatting sqref="E35:E37">
    <cfRule type="cellIs" dxfId="52" priority="39" operator="notEqual">
      <formula>"No"</formula>
    </cfRule>
  </conditionalFormatting>
  <conditionalFormatting sqref="E62">
    <cfRule type="cellIs" dxfId="51" priority="38" operator="notEqual">
      <formula>"No"</formula>
    </cfRule>
  </conditionalFormatting>
  <conditionalFormatting sqref="E69">
    <cfRule type="cellIs" dxfId="50" priority="37" operator="notEqual">
      <formula>"No"</formula>
    </cfRule>
  </conditionalFormatting>
  <conditionalFormatting sqref="E73">
    <cfRule type="cellIs" dxfId="49" priority="36" operator="notEqual">
      <formula>"No"</formula>
    </cfRule>
  </conditionalFormatting>
  <conditionalFormatting sqref="E75">
    <cfRule type="cellIs" dxfId="48" priority="35" operator="notEqual">
      <formula>"No"</formula>
    </cfRule>
  </conditionalFormatting>
  <conditionalFormatting sqref="E77">
    <cfRule type="cellIs" dxfId="47" priority="34" operator="notEqual">
      <formula>"No"</formula>
    </cfRule>
  </conditionalFormatting>
  <conditionalFormatting sqref="E81">
    <cfRule type="cellIs" dxfId="46" priority="33" operator="notEqual">
      <formula>"No"</formula>
    </cfRule>
  </conditionalFormatting>
  <conditionalFormatting sqref="E94">
    <cfRule type="cellIs" dxfId="45" priority="32" operator="notEqual">
      <formula>"No"</formula>
    </cfRule>
  </conditionalFormatting>
  <conditionalFormatting sqref="E97">
    <cfRule type="cellIs" dxfId="44" priority="31" operator="notEqual">
      <formula>"No"</formula>
    </cfRule>
  </conditionalFormatting>
  <conditionalFormatting sqref="E99">
    <cfRule type="cellIs" dxfId="43" priority="30" operator="notEqual">
      <formula>"No"</formula>
    </cfRule>
  </conditionalFormatting>
  <conditionalFormatting sqref="E101">
    <cfRule type="cellIs" dxfId="42" priority="29" operator="notEqual">
      <formula>"No"</formula>
    </cfRule>
  </conditionalFormatting>
  <conditionalFormatting sqref="E105">
    <cfRule type="cellIs" dxfId="41" priority="28" operator="notEqual">
      <formula>"No"</formula>
    </cfRule>
  </conditionalFormatting>
  <conditionalFormatting sqref="E108:E111">
    <cfRule type="cellIs" dxfId="40" priority="27" operator="notEqual">
      <formula>"No"</formula>
    </cfRule>
  </conditionalFormatting>
  <conditionalFormatting sqref="E113:E116">
    <cfRule type="cellIs" dxfId="39" priority="26" operator="notEqual">
      <formula>"No"</formula>
    </cfRule>
  </conditionalFormatting>
  <conditionalFormatting sqref="E118">
    <cfRule type="cellIs" dxfId="38" priority="25" operator="notEqual">
      <formula>"No"</formula>
    </cfRule>
  </conditionalFormatting>
  <conditionalFormatting sqref="E126:E127">
    <cfRule type="cellIs" dxfId="37" priority="24" operator="notEqual">
      <formula>"No"</formula>
    </cfRule>
  </conditionalFormatting>
  <conditionalFormatting sqref="E129:E130">
    <cfRule type="cellIs" dxfId="36" priority="23" operator="notEqual">
      <formula>"No"</formula>
    </cfRule>
  </conditionalFormatting>
  <conditionalFormatting sqref="E132:E137">
    <cfRule type="cellIs" dxfId="35" priority="22" operator="notEqual">
      <formula>"No"</formula>
    </cfRule>
  </conditionalFormatting>
  <conditionalFormatting sqref="E139:E140">
    <cfRule type="cellIs" dxfId="34" priority="21" operator="notEqual">
      <formula>"No"</formula>
    </cfRule>
  </conditionalFormatting>
  <conditionalFormatting sqref="E142">
    <cfRule type="cellIs" dxfId="33" priority="20" operator="notEqual">
      <formula>"No"</formula>
    </cfRule>
  </conditionalFormatting>
  <conditionalFormatting sqref="E145:E147">
    <cfRule type="cellIs" dxfId="32" priority="19" operator="notEqual">
      <formula>"No"</formula>
    </cfRule>
  </conditionalFormatting>
  <conditionalFormatting sqref="E150:E151">
    <cfRule type="cellIs" dxfId="31" priority="18" operator="notEqual">
      <formula>"No"</formula>
    </cfRule>
  </conditionalFormatting>
  <conditionalFormatting sqref="E160">
    <cfRule type="cellIs" dxfId="30" priority="17" operator="notEqual">
      <formula>"No"</formula>
    </cfRule>
  </conditionalFormatting>
  <conditionalFormatting sqref="E168">
    <cfRule type="cellIs" dxfId="29" priority="16" operator="notEqual">
      <formula>"No"</formula>
    </cfRule>
  </conditionalFormatting>
  <conditionalFormatting sqref="E184">
    <cfRule type="cellIs" dxfId="28" priority="15" operator="notEqual">
      <formula>"No"</formula>
    </cfRule>
  </conditionalFormatting>
  <conditionalFormatting sqref="E190">
    <cfRule type="cellIs" dxfId="27" priority="14" operator="notEqual">
      <formula>"No"</formula>
    </cfRule>
  </conditionalFormatting>
  <conditionalFormatting sqref="E194">
    <cfRule type="cellIs" dxfId="26" priority="13" operator="notEqual">
      <formula>"No"</formula>
    </cfRule>
  </conditionalFormatting>
  <conditionalFormatting sqref="E197">
    <cfRule type="cellIs" dxfId="25" priority="12" operator="notEqual">
      <formula>"No"</formula>
    </cfRule>
  </conditionalFormatting>
  <conditionalFormatting sqref="E199">
    <cfRule type="cellIs" dxfId="24" priority="11" operator="notEqual">
      <formula>"No"</formula>
    </cfRule>
  </conditionalFormatting>
  <conditionalFormatting sqref="E202">
    <cfRule type="cellIs" dxfId="23" priority="10" operator="notEqual">
      <formula>"No"</formula>
    </cfRule>
  </conditionalFormatting>
  <conditionalFormatting sqref="E204">
    <cfRule type="cellIs" dxfId="22" priority="9" operator="notEqual">
      <formula>"No"</formula>
    </cfRule>
  </conditionalFormatting>
  <conditionalFormatting sqref="E206:E207">
    <cfRule type="cellIs" dxfId="21" priority="8" operator="notEqual">
      <formula>"No"</formula>
    </cfRule>
  </conditionalFormatting>
  <conditionalFormatting sqref="E210:E211">
    <cfRule type="cellIs" dxfId="20" priority="7" operator="notEqual">
      <formula>"No"</formula>
    </cfRule>
  </conditionalFormatting>
  <conditionalFormatting sqref="E227">
    <cfRule type="cellIs" dxfId="19" priority="6" operator="notEqual">
      <formula>"No"</formula>
    </cfRule>
  </conditionalFormatting>
  <conditionalFormatting sqref="E233">
    <cfRule type="cellIs" dxfId="18" priority="5" operator="notEqual">
      <formula>"No"</formula>
    </cfRule>
  </conditionalFormatting>
  <conditionalFormatting sqref="E238">
    <cfRule type="cellIs" dxfId="17" priority="4" operator="notEqual">
      <formula>"No"</formula>
    </cfRule>
  </conditionalFormatting>
  <conditionalFormatting sqref="E240:E242">
    <cfRule type="cellIs" dxfId="16" priority="3" operator="notEqual">
      <formula>"No"</formula>
    </cfRule>
  </conditionalFormatting>
  <conditionalFormatting sqref="E259">
    <cfRule type="cellIs" dxfId="15" priority="2" operator="notEqual">
      <formula>"No"</formula>
    </cfRule>
  </conditionalFormatting>
  <conditionalFormatting sqref="E267">
    <cfRule type="cellIs" dxfId="14" priority="1" operator="notEqual">
      <formula>"No"</formula>
    </cfRule>
  </conditionalFormatting>
  <dataValidations count="1">
    <dataValidation type="list" allowBlank="1" sqref="E4:E76 E78:E99 E102:E142 E147:E178 E180:E181 E183:E241 E247:E249 E251:E254 E256 E258:E259 E262:E280 D3:G3" xr:uid="{11D9C9DB-9E95-430D-B60A-B848CC0D325A}">
      <formula1>#REF!</formula1>
    </dataValidation>
  </dataValidations>
  <hyperlinks>
    <hyperlink ref="G11" r:id="rId1" display="ES-23170" xr:uid="{0409C5D1-B09F-485A-ACA1-50946F18FA18}"/>
    <hyperlink ref="G12" r:id="rId2" display="ES-23171" xr:uid="{4472A603-4D89-45B2-A665-FA01492354FE}"/>
    <hyperlink ref="G19" r:id="rId3" display="ES-25102" xr:uid="{9955EDF9-57F6-431B-AAFC-13A00E2D1606}"/>
    <hyperlink ref="G24" r:id="rId4" display="ES-23499_x000a_" xr:uid="{49DECBC5-3BCB-4392-8034-377CE338026A}"/>
    <hyperlink ref="G25" r:id="rId5" display="ES-24275" xr:uid="{A17095F8-A083-4871-B915-5F05F9830A66}"/>
    <hyperlink ref="G29" r:id="rId6" display="ES-22388" xr:uid="{79AA02CB-2DDB-450E-A668-AD62A6EAF953}"/>
    <hyperlink ref="G30" r:id="rId7" display="ES-23981" xr:uid="{478B199A-1D69-4385-A38D-94B597E89110}"/>
    <hyperlink ref="G31" r:id="rId8" display="ES-24051" xr:uid="{4F2F54E4-B85E-4D8A-A687-5ED5ACA9E191}"/>
    <hyperlink ref="G33" r:id="rId9" display="ES-23117" xr:uid="{C9F603B2-690D-4258-A8F7-DA5215FE3F17}"/>
    <hyperlink ref="G35" r:id="rId10" display="ES-24670" xr:uid="{74D12D05-0236-4BC8-ABBD-303BB7830C27}"/>
    <hyperlink ref="G36" r:id="rId11" display="ES-23468" xr:uid="{1EE2B821-9F8F-41A4-8D11-31ADDF92A317}"/>
    <hyperlink ref="G37" r:id="rId12" display="ES-24021" xr:uid="{48260C1C-6136-4C39-81BC-0C6DDD3B1A53}"/>
    <hyperlink ref="G38" r:id="rId13" display="ES-24577" xr:uid="{03EDB533-F2AC-4D27-9879-98661248E417}"/>
    <hyperlink ref="G56" r:id="rId14" display="ES-22166" xr:uid="{5B1D8A06-37E0-46BF-9758-6C49A574304B}"/>
    <hyperlink ref="G57" r:id="rId15" display="ES-23052" xr:uid="{CE20F665-4EE3-41BD-A286-42360D23D3ED}"/>
    <hyperlink ref="G62" r:id="rId16" display="ES-24514" xr:uid="{17C4D094-1944-4718-AAAE-CB0FB7BC39DA}"/>
    <hyperlink ref="G69" r:id="rId17" display="ES-23143" xr:uid="{ABCFBF03-080C-4015-A20E-986A08AB9A86}"/>
    <hyperlink ref="G70" r:id="rId18" display="ES-23580" xr:uid="{93DEC7EC-5652-4D42-B887-70B2B5341F99}"/>
    <hyperlink ref="G73" r:id="rId19" display="ES-22966" xr:uid="{B85409E8-9974-4FE2-81DA-BED7FFE6572B}"/>
    <hyperlink ref="G75" r:id="rId20" display="ES-24725" xr:uid="{96F9F3BC-E35E-477F-B802-C356352EC55A}"/>
    <hyperlink ref="G77" r:id="rId21" display="ES-23559" xr:uid="{6D613CE4-D590-4D8F-8413-658C5D07C6F3}"/>
    <hyperlink ref="G81" r:id="rId22" display="ES-24059" xr:uid="{69BBD3E0-8B79-4E98-801C-8E6299D828CA}"/>
    <hyperlink ref="G94" r:id="rId23" display="ES-24898" xr:uid="{C38EA170-26E5-49BA-B104-1BE434188A3A}"/>
    <hyperlink ref="G97" r:id="rId24" display="ES-24271" xr:uid="{4B1C6C84-48A8-4A9D-8397-21BD5E7DD8B0}"/>
    <hyperlink ref="G99" r:id="rId25" display="ES-23651" xr:uid="{7C9F7E44-B1C2-46F5-B268-5EFAF3C0ADEF}"/>
    <hyperlink ref="G101" r:id="rId26" display="ES-24479" xr:uid="{19C05ED0-BE6F-4561-B8AF-474244C81E3F}"/>
    <hyperlink ref="G105" r:id="rId27" display="ES-22503" xr:uid="{4E115C19-8CD7-42B6-9D7D-C85209EFFD12}"/>
    <hyperlink ref="G108" r:id="rId28" display="ES-25208" xr:uid="{1D56E44B-5002-43DE-8771-7E27D3CCAB68}"/>
    <hyperlink ref="G109" r:id="rId29" display="ES-22968" xr:uid="{0ECF5684-991F-4886-A6DB-658638B5C3F1}"/>
    <hyperlink ref="G111" r:id="rId30" display="ES-23971" xr:uid="{D8A60939-722E-4D8D-BBA5-C6887513C468}"/>
    <hyperlink ref="G113" r:id="rId31" display="ES-24028" xr:uid="{94B2630C-6578-4544-B7AB-A8E5FB167B91}"/>
    <hyperlink ref="G115" r:id="rId32" display="ES-23206" xr:uid="{793942E5-4CBC-487D-9847-46254CB34CA1}"/>
    <hyperlink ref="G116" r:id="rId33" display="ES-23118" xr:uid="{E27A6BDB-B4CC-4502-AC4B-ADA0CB420767}"/>
    <hyperlink ref="G117" r:id="rId34" display="ES-23101" xr:uid="{330DE67A-F5C1-471D-887E-35E9A4324A78}"/>
    <hyperlink ref="G118" r:id="rId35" display="ES-24757" xr:uid="{8697DF93-84B8-45AE-B1B7-D341D3C6C893}"/>
    <hyperlink ref="G120" r:id="rId36" display="ES-22971" xr:uid="{99096288-9EED-463E-AA95-14D7BC2BEA2B}"/>
    <hyperlink ref="G121" r:id="rId37" display="ES-22733" xr:uid="{28E16738-4BC8-43D3-9246-A7F46669C34D}"/>
    <hyperlink ref="G126" r:id="rId38" display="ES-22974" xr:uid="{2049226C-B368-4617-8E4D-F45311AE2EA0}"/>
    <hyperlink ref="G127" r:id="rId39" display="ES-22968" xr:uid="{18F916F4-225E-44C6-A6E0-793F758D087C}"/>
    <hyperlink ref="G129" r:id="rId40" display="ES-22502" xr:uid="{36322C57-BEB1-44DA-A247-63B4ADEBB21B}"/>
    <hyperlink ref="G130" r:id="rId41" display="ES-25205_x000a_" xr:uid="{0D195599-EEA8-4A53-B615-607E35CF869A}"/>
    <hyperlink ref="G131" r:id="rId42" display="ES-25027" xr:uid="{76FA0399-F117-43C8-9AFA-09C5AB991BE9}"/>
    <hyperlink ref="G132" r:id="rId43" display="ES-24885" xr:uid="{0BA00A30-1763-4531-A189-824E265F3FF6}"/>
    <hyperlink ref="G134" r:id="rId44" display="ES-24027" xr:uid="{815677DD-D41F-43EE-8E08-BC789D93A693}"/>
    <hyperlink ref="G135" r:id="rId45" display="ES-23973" xr:uid="{91F889C7-9D01-4A86-9C7F-F0C3F3526814}"/>
    <hyperlink ref="G137" r:id="rId46" display="ES-23467" xr:uid="{D64C6C6B-6FAB-4D93-87A8-A6585BD9A990}"/>
    <hyperlink ref="G138" r:id="rId47" display="ES-23466" xr:uid="{62001F0B-BF3E-46F2-AE08-A730FB78D3FA}"/>
    <hyperlink ref="G139" r:id="rId48" display="ES-23563" xr:uid="{51F06145-F613-40BF-A918-34B0D16592A3}"/>
    <hyperlink ref="G140" r:id="rId49" display="ES-23156" xr:uid="{41A3BE84-3FC6-458E-871E-4CF4147A0EE0}"/>
    <hyperlink ref="G141" r:id="rId50" display="ES-23370" xr:uid="{24A16A32-2A54-4785-95B4-8277B51FA0E6}"/>
    <hyperlink ref="G142" r:id="rId51" display="ES-24481" xr:uid="{CA0F96E8-0988-467E-B201-8621FD765678}"/>
    <hyperlink ref="G145" r:id="rId52" display="ES-22975" xr:uid="{AFF35B80-A192-4F24-AC9B-F48D7C159159}"/>
    <hyperlink ref="G146" r:id="rId53" display="ES-24673" xr:uid="{3264A84F-99C5-450B-A14E-FFA54E719875}"/>
    <hyperlink ref="G147" r:id="rId54" display="ES-23209" xr:uid="{834E48A6-E697-45F8-9EF6-41EEBE60579C}"/>
    <hyperlink ref="G150" r:id="rId55" display="ES-23560" xr:uid="{1059EB52-A5DB-4264-A05D-506FB6DD30D3}"/>
    <hyperlink ref="G151" r:id="rId56" display="ES-22967" xr:uid="{60B48E9F-1F74-40E8-932A-69CC794991F2}"/>
    <hyperlink ref="G160" r:id="rId57" display="ES-23972" xr:uid="{90621EBA-478B-449F-AC3D-99DD6EB979B2}"/>
    <hyperlink ref="G168" r:id="rId58" display="ES-23008" xr:uid="{86A69EA7-95B7-4BE7-A7C5-4DF9D94A7C2F}"/>
    <hyperlink ref="G176" r:id="rId59" display="ES-22146" xr:uid="{FBAA7F5A-1A61-46ED-B29A-2F5BEF13D03A}"/>
    <hyperlink ref="G177" r:id="rId60" display="ES-22211" xr:uid="{8DA69CD2-8D52-4EF7-AB5A-5FF34921422E}"/>
    <hyperlink ref="G178" r:id="rId61" display="ES-25507" xr:uid="{3285CEE5-6D05-42A4-B2A1-3D1F50FE724A}"/>
    <hyperlink ref="G184" r:id="rId62" display="ES-24299" xr:uid="{1EDF65CC-9E3B-422B-934F-19BE212AE303}"/>
    <hyperlink ref="G190" r:id="rId63" display="ES-18350" xr:uid="{D9289685-5D10-460F-B11E-6A83F705AEBF}"/>
    <hyperlink ref="G191" r:id="rId64" display="ES-18402" xr:uid="{68D8758B-986D-4403-9DD8-9FB68AFD16C0}"/>
    <hyperlink ref="G192" r:id="rId65" display="ES-24877" xr:uid="{4BD85F53-37F6-4661-9ABF-26C35D1B405B}"/>
    <hyperlink ref="G193" r:id="rId66" display="ES-24878" xr:uid="{D224001E-B5E8-4AB9-BAFD-CDDD787FB8F3}"/>
    <hyperlink ref="G194" r:id="rId67" display="ES-24806" xr:uid="{FFF2705B-1237-42AD-AE16-EAC84FB67A47}"/>
    <hyperlink ref="G197" r:id="rId68" display="ES-23586" xr:uid="{EBDD5D17-55A7-4456-981E-F77733D8D411}"/>
    <hyperlink ref="G198" r:id="rId69" display="ES-23565" xr:uid="{E81AB9F3-463D-4076-92CD-1203CCAE8892}"/>
    <hyperlink ref="G199" r:id="rId70" display="ES-23485" xr:uid="{9A17F1C9-6BD2-4B4D-8602-B78F047E44B2}"/>
    <hyperlink ref="G201" r:id="rId71" display="ES-22642" xr:uid="{866192B6-C064-4D2A-84D7-2F8F80601A1D}"/>
    <hyperlink ref="G202" r:id="rId72" display="ES-22642" xr:uid="{F05C6BD5-1186-4F0D-8EAC-EBEC4B5DB79C}"/>
    <hyperlink ref="G203" r:id="rId73" display="ES-23009" xr:uid="{5CD06525-5E2C-4EE3-8B21-86EACED1540A}"/>
    <hyperlink ref="G204" r:id="rId74" display="ES-22478" xr:uid="{6FF99DBC-8324-4D04-AB75-A89F497F096D}"/>
    <hyperlink ref="G205" r:id="rId75" display="ES-23119" xr:uid="{0309A43F-2D4C-4AFE-AE28-76BC5C924363}"/>
    <hyperlink ref="G206" r:id="rId76" display="ES-22390" xr:uid="{DF98AD4F-62E7-4FE5-847A-36CEDC7EABE7}"/>
    <hyperlink ref="G207" r:id="rId77" display="ES-24671" xr:uid="{F91AC355-D722-47A0-AB45-76798CFA382E}"/>
    <hyperlink ref="G208" r:id="rId78" display="ES-24672" xr:uid="{1EBE33AE-0493-48FE-ADB8-2FAD4017BDF9}"/>
    <hyperlink ref="G210" r:id="rId79" display="ES-24707" xr:uid="{2B850CA7-D757-446B-98FA-6CF6206FEE07}"/>
    <hyperlink ref="G211" r:id="rId80" display="ES-24333" xr:uid="{6597F560-2FCD-4E64-B498-723B24B37BD5}"/>
    <hyperlink ref="G213" r:id="rId81" display="ES-24225" xr:uid="{222FB077-57CC-45E2-8E93-1DAE400BCD68}"/>
    <hyperlink ref="G227" r:id="rId82" display="ES-24417" xr:uid="{D591DF37-E16B-46DB-82AC-2C985C3D4460}"/>
    <hyperlink ref="G228" r:id="rId83" display="ES-23469" xr:uid="{5E728B01-6F3C-4EB2-9BFA-590178EE9A44}"/>
    <hyperlink ref="G229" r:id="rId84" display="ES-25010" xr:uid="{1B297F5F-5DAE-403C-AA75-67D01FBF6832}"/>
    <hyperlink ref="G233" r:id="rId85" display="ES-23469" xr:uid="{AB2931E7-7F7F-4AF8-8CAC-6CB17EA0EFA0}"/>
    <hyperlink ref="G234" r:id="rId86" display="ES-24417" xr:uid="{076C7742-D056-4293-8C5B-C6FA27B2B2A8}"/>
    <hyperlink ref="G238" r:id="rId87" display="ES-18957" xr:uid="{08BDA2A2-B94D-4084-B5C0-01DC05782A81}"/>
    <hyperlink ref="G239" r:id="rId88" display="ES-24480" xr:uid="{9B0ADABD-E104-43D5-A460-4D25431C76B3}"/>
    <hyperlink ref="G240" r:id="rId89" display="ES-25664" xr:uid="{79A7D3EE-4DC7-469B-ABDA-333B1CA84FC9}"/>
    <hyperlink ref="G242" r:id="rId90" display="ES-24683" xr:uid="{6D42B3E3-CFCA-4969-B4D3-2DDC6D02ABFD}"/>
    <hyperlink ref="G243" r:id="rId91" display="ES-24684" xr:uid="{4EF4FA9F-8739-4797-9120-9DBC371909CE}"/>
    <hyperlink ref="G244" r:id="rId92" display="ES-24685" xr:uid="{0D3DDEA1-7079-4E64-AF11-A98DC0E44573}"/>
    <hyperlink ref="G245" r:id="rId93" display="ES-24686" xr:uid="{3FBD6F23-6977-450C-9AD9-DDC3A1E2A213}"/>
    <hyperlink ref="G259" r:id="rId94" display="ES-22976" xr:uid="{8E45AA5C-FBA1-4DCF-863F-E51FE21D5B1D}"/>
    <hyperlink ref="G260" r:id="rId95" display="ES-22977" xr:uid="{1A02593C-E090-4D9F-8FBF-F831A12F6A61}"/>
    <hyperlink ref="G261" r:id="rId96" display="ES-22978" xr:uid="{D3FA79D8-BBEE-4982-A3F7-5E78575E1C15}"/>
    <hyperlink ref="G267" r:id="rId97" display="ES-24726" xr:uid="{1175852C-347E-4120-96E0-C08686DEF3DA}"/>
    <hyperlink ref="G268" r:id="rId98" display="ES-25670" xr:uid="{A479B623-75B5-4EAF-A60F-629B0AA26DD7}"/>
    <hyperlink ref="G246" r:id="rId99" display="https://bluetooth.atlassian.net/jira/software/c/projects/ES/issues/ES-24697" xr:uid="{2A3ECD39-B205-448E-BCA6-35228FA40234}"/>
    <hyperlink ref="A4" r:id="rId100" display="ES-24281" xr:uid="{D9494327-D9C2-4F70-9F66-1875D1445BC0}"/>
    <hyperlink ref="A5" r:id="rId101" display="ES-23649" xr:uid="{BD2B3ABF-B8CE-4579-985E-9B02ED530AEC}"/>
    <hyperlink ref="A6" r:id="rId102" display="ES-22957" xr:uid="{DDDABF49-D477-4706-A4ED-F12DACF1DC94}"/>
    <hyperlink ref="A7" r:id="rId103" display="ES-22697" xr:uid="{011F8F5D-0526-4DC9-BF56-9FFA34C58E05}"/>
    <hyperlink ref="A8" r:id="rId104" display="ES-23648" xr:uid="{CB7F1BFB-8D59-4F59-9B78-3461F6A1F82F}"/>
    <hyperlink ref="A9" r:id="rId105" display="ES-22579" xr:uid="{1C7D73AB-26F8-4548-BD8B-83DB9E8582EC}"/>
    <hyperlink ref="A10" r:id="rId106" display="ES-22397" xr:uid="{8837BC40-6C91-4888-832C-47DD1A988031}"/>
    <hyperlink ref="A11" r:id="rId107" display="ES-23034" xr:uid="{83DDE3C2-87A2-45E2-B62E-9B907CB8F86F}"/>
    <hyperlink ref="A13" r:id="rId108" display="ES-22960" xr:uid="{1570E766-777A-421D-A193-18C98B1EAD03}"/>
    <hyperlink ref="A14" r:id="rId109" display="ES-23135" xr:uid="{1A6F7317-BF0E-40A3-A543-B86925A77616}"/>
    <hyperlink ref="A15" r:id="rId110" display="ES-16543" xr:uid="{09958574-38FA-4F89-8E49-09F48EDAF1C8}"/>
    <hyperlink ref="A16" r:id="rId111" display="ES-24798" xr:uid="{B9627C97-D070-4C16-9559-555D63D65C9C}"/>
    <hyperlink ref="A17" r:id="rId112" display="ES-24044" xr:uid="{52AA23F8-EFE9-41F5-8FF2-FBEEBFBDFD63}"/>
    <hyperlink ref="A18" r:id="rId113" display="ES-24800" xr:uid="{9166EEBA-A732-40B6-82F2-EBBFFA32FD5F}"/>
    <hyperlink ref="A19" r:id="rId114" display="ES-25101" xr:uid="{27AAE768-60E5-41DE-A66E-009466E1E151}"/>
    <hyperlink ref="A20" r:id="rId115" display="ES-24457" xr:uid="{B2D7C295-0522-4EBA-9B61-3F166814DACE}"/>
    <hyperlink ref="A21" r:id="rId116" display="ES-23620" xr:uid="{D3D7F3C4-582A-4131-A394-8CB699C7D210}"/>
    <hyperlink ref="A22" r:id="rId117" display="ES-23548" xr:uid="{2931FECC-0F95-4E01-BF97-9E326A51D3E0}"/>
    <hyperlink ref="A23" r:id="rId118" display="ES-23624" xr:uid="{ACD38133-F1E1-47F4-96F3-F0608EE366B1}"/>
    <hyperlink ref="A24" r:id="rId119" display="ES-17736" xr:uid="{B0F02494-6B2C-45A3-8EEC-B02933ABDD65}"/>
    <hyperlink ref="A26" r:id="rId120" display="ES-23549" xr:uid="{807A73DC-2DEB-42CB-A7FE-38DF9120CB04}"/>
    <hyperlink ref="A27" r:id="rId121" display="ES-23508" xr:uid="{B5104899-0BAE-4163-A723-6B7FF184998B}"/>
    <hyperlink ref="A28" r:id="rId122" display="ES-23127" xr:uid="{EA395AFE-AF45-4332-A1E6-EB9A10A863BD}"/>
    <hyperlink ref="A29" r:id="rId123" display="ES-22262" xr:uid="{63864942-B990-44E6-8B7C-060EF22E02F4}"/>
    <hyperlink ref="A30" r:id="rId124" display="ES-23739" xr:uid="{52ABB795-A2F4-4B93-9303-4C27B08BD4FA}"/>
    <hyperlink ref="A31" r:id="rId125" display="ES-23579" xr:uid="{86246371-C182-4DCD-AD19-5FA9CA8D2402}"/>
    <hyperlink ref="A32" r:id="rId126" display="ES-23219" xr:uid="{D6A8C756-DE24-4C2E-8613-181A18C8018B}"/>
    <hyperlink ref="A33" r:id="rId127" display="ES-23064" xr:uid="{DE0128A3-C719-4DD5-B716-BE4DDAE6636B}"/>
    <hyperlink ref="A34" r:id="rId128" display="ES-22839" xr:uid="{27E074AA-7249-4D25-BE05-20FF4E197385}"/>
    <hyperlink ref="A35" r:id="rId129" display="ES-15466" xr:uid="{CEB36909-3C33-488F-9271-A8300249EB68}"/>
    <hyperlink ref="A36" r:id="rId130" display="ES-23054" xr:uid="{7E9ADCB6-C133-4342-A929-68EE99041EAC}"/>
    <hyperlink ref="A37" r:id="rId131" display="ES-24402" xr:uid="{56CDE6E7-DBA5-4D3F-BDBD-19FF904C2964}"/>
    <hyperlink ref="A39" r:id="rId132" display="ES-24786" xr:uid="{C5B8497B-0791-4809-92D8-8C0E31F6A594}"/>
    <hyperlink ref="A40" r:id="rId133" display="ES-24675" xr:uid="{6F74C32F-AF95-4A09-B148-0CDB461741E4}"/>
    <hyperlink ref="A41" r:id="rId134" display="ES-24582" xr:uid="{EE0D1576-630B-4B30-B44C-35EDC19D48BA}"/>
    <hyperlink ref="A42" r:id="rId135" display="ES-24171" xr:uid="{310C470C-6BB0-4B68-9052-DD36E9CB8033}"/>
    <hyperlink ref="A43" r:id="rId136" display="ES-24042" xr:uid="{6CF15AE6-F35D-4814-A750-343AF72F780F}"/>
    <hyperlink ref="A44" r:id="rId137" display="ES-23578" xr:uid="{4EA6DF5F-D3F3-4A97-A597-B86638C012C1}"/>
    <hyperlink ref="A45" r:id="rId138" display="ES-22926" xr:uid="{6675E121-2587-4C82-B061-4B2C1EF7969E}"/>
    <hyperlink ref="A46" r:id="rId139" display="ES-20613" xr:uid="{B41130CD-B71D-4C08-9900-1F39D7B1CEF9}"/>
    <hyperlink ref="A47" r:id="rId140" display="ES-22490" xr:uid="{D71B71D9-C43E-44AF-904F-12359DD9FAA7}"/>
    <hyperlink ref="A48" r:id="rId141" display="ES-22488" xr:uid="{3B3F58AC-71BD-455C-90BD-29B7F3A784EA}"/>
    <hyperlink ref="A49" r:id="rId142" display="ES-22489" xr:uid="{9593042C-2E35-4091-B5BF-635365815B8E}"/>
    <hyperlink ref="A50" r:id="rId143" display="ES-24797" xr:uid="{E2F425F2-FC19-474E-BE32-C15C124D2443}"/>
    <hyperlink ref="A51" r:id="rId144" display="ES-23627" xr:uid="{F0F13421-1AA6-4F26-A675-43845DC1AAAD}"/>
    <hyperlink ref="A52" r:id="rId145" display="ES-23260" xr:uid="{9466BDCB-C641-49BB-9B56-F2D197BEA922}"/>
    <hyperlink ref="A53" r:id="rId146" display="ES-23991" xr:uid="{EB10816C-0E12-40DB-A6F2-24F74ABAD590}"/>
    <hyperlink ref="A54" r:id="rId147" display="ES-22641" xr:uid="{57A4F70B-83A3-425A-96A9-3EF195977A4A}"/>
    <hyperlink ref="A55" r:id="rId148" display="ES-24217" xr:uid="{4B189A94-DCFB-4929-BCAA-728DE68C8E1E}"/>
    <hyperlink ref="A56" r:id="rId149" display="ES-23048" xr:uid="{168A08EA-9B93-453A-80ED-193EE62CD912}"/>
    <hyperlink ref="A58" r:id="rId150" display="ES-22693" xr:uid="{7A8D3F8E-2DCC-4DD8-AAC7-0B098BAAC71C}"/>
    <hyperlink ref="A59" r:id="rId151" display="ES-22594" xr:uid="{DF38D8A3-3010-4013-A879-C0C33060A791}"/>
    <hyperlink ref="A60" r:id="rId152" display="ES-22535" xr:uid="{F3F5E6F5-0251-4C45-A41B-44DA19CDD0D0}"/>
    <hyperlink ref="A61" r:id="rId153" display="ES-22534" xr:uid="{ADCFCDC5-3161-418A-9AA5-9BA0682AE6BD}"/>
    <hyperlink ref="A62" r:id="rId154" display="ES-24440" xr:uid="{00879ADF-BBBB-4D54-ADDE-298361E59F6E}"/>
    <hyperlink ref="A63" r:id="rId155" display="ES-23631" xr:uid="{D002C249-40CE-49CD-897A-DDADC269E201}"/>
    <hyperlink ref="A64" r:id="rId156" display="ES-23630" xr:uid="{C78983C0-74CD-4357-BC7D-83D258081D38}"/>
    <hyperlink ref="A65" r:id="rId157" display="ES-22875" xr:uid="{FEE228E4-B51E-45B6-BF24-F649D4EA91E9}"/>
    <hyperlink ref="A66" r:id="rId158" display="ES-22536" xr:uid="{85B72D53-ADAA-4F2E-ADEA-363372319ED5}"/>
    <hyperlink ref="A67" r:id="rId159" display="ES-22138" xr:uid="{72BFC382-329A-421E-9075-796C996EF6BF}"/>
    <hyperlink ref="A68" r:id="rId160" display="ES-24762" xr:uid="{E8778F1F-5B14-47B6-A14B-815F04C9C553}"/>
    <hyperlink ref="A69" r:id="rId161" display="ES-23190" xr:uid="{3311675D-8C8D-4140-91E8-35008FEAF30E}"/>
    <hyperlink ref="A71" r:id="rId162" display="ES-22589" xr:uid="{46517708-4170-4DBA-AD61-964CDACCBF9B}"/>
    <hyperlink ref="A72" r:id="rId163" display="ES-22492" xr:uid="{211C8EC8-F0DB-4BA8-9EEA-58C2F1C7F383}"/>
    <hyperlink ref="A73" r:id="rId164" display="ES-18082" xr:uid="{C22D38BB-FA59-4448-9839-837260DB9784}"/>
    <hyperlink ref="A74" r:id="rId165" display="ES-24620" xr:uid="{BD7FD4B9-1903-4A77-9573-1685C460C35D}"/>
    <hyperlink ref="A75" r:id="rId166" display="ES-22726" xr:uid="{72D96C7F-E77A-4ED7-BA81-43603176B583}"/>
    <hyperlink ref="A76" r:id="rId167" display="ES-22783" xr:uid="{49B13ABE-128E-41F3-9A22-29D8D8DB5217}"/>
    <hyperlink ref="A77" r:id="rId168" display="ES-22289" xr:uid="{D3CFDBC6-3918-4725-8B00-B4C7F9C65AE3}"/>
    <hyperlink ref="A78" r:id="rId169" display="ES-24394" xr:uid="{0FA8A76E-49CC-46CF-A309-857AD7158C4D}"/>
    <hyperlink ref="A79" r:id="rId170" display="ES-24312" xr:uid="{1ECDFF0E-CBA9-48A5-81A7-7AB9269D554E}"/>
    <hyperlink ref="A80" r:id="rId171" display="ES-24058" xr:uid="{39055CB3-4828-4B18-A32D-E8887C4B2D0B}"/>
    <hyperlink ref="A81" r:id="rId172" display="ES-24057" xr:uid="{145A7D6B-23FB-46A8-A3B2-D8487116F750}"/>
    <hyperlink ref="A82" r:id="rId173" display="ES-23303" xr:uid="{9ABDEA8F-564D-4EF9-8084-50C1AE262678}"/>
    <hyperlink ref="A83" r:id="rId174" display="ES-22255" xr:uid="{EF0C7595-1005-418B-B94F-14C8F9E64720}"/>
    <hyperlink ref="A84" r:id="rId175" display="ES-20657" xr:uid="{213F6641-3D19-4C16-A24E-3F64621EEABF}"/>
    <hyperlink ref="A85" r:id="rId176" display="ES-23071" xr:uid="{1181A390-9B54-451A-9F79-2D12CA6C0F95}"/>
    <hyperlink ref="A86" r:id="rId177" display="ES-22416" xr:uid="{40C390F9-2977-49CD-990C-E985FF7F11D0}"/>
    <hyperlink ref="A87" r:id="rId178" display="ES-24892" xr:uid="{5774EE5D-D7CC-4024-851B-6AC88C160F58}"/>
    <hyperlink ref="A88" r:id="rId179" display="ES-23634" xr:uid="{56AA1A3C-9FFC-47F6-96FC-80D07F7AE593}"/>
    <hyperlink ref="A89" r:id="rId180" display="ES-22538" xr:uid="{7C6DAC5B-A723-4449-A8C9-D546633F79C0}"/>
    <hyperlink ref="A90" r:id="rId181" display="ES-22396" xr:uid="{F235C82E-78AD-4E6A-AB2C-17B8C48C04C3}"/>
    <hyperlink ref="A91" r:id="rId182" display="ES-24889" xr:uid="{F4A51AD5-4CE5-4BF1-B35A-4D86D1EF0544}"/>
    <hyperlink ref="A92" r:id="rId183" display="ES-24126" xr:uid="{3CF5B3A2-0F2A-40E1-9828-DD4BE66249CE}"/>
    <hyperlink ref="A93" r:id="rId184" display="ES-22487" xr:uid="{C36B165A-2EB8-483B-8C89-FD017B2F514D}"/>
    <hyperlink ref="A94" r:id="rId185" display="ES-17355" xr:uid="{7ECBC66A-AD9E-4640-9ECE-0E2719509843}"/>
    <hyperlink ref="A95" r:id="rId186" display="ES-24580" xr:uid="{1D7217EE-72FB-4239-B898-115468E20929}"/>
    <hyperlink ref="A96" r:id="rId187" display="ES-24473" xr:uid="{8C16D2E6-B3D9-4332-B695-77C33325B3D4}"/>
    <hyperlink ref="A97" r:id="rId188" display="ES-24247" xr:uid="{DE15F2D5-8162-432D-89FF-F0CECA4CE9C0}"/>
    <hyperlink ref="A98" r:id="rId189" display="ES-24199" xr:uid="{AD77912F-F238-45B7-813A-495EF6169794}"/>
    <hyperlink ref="A99" r:id="rId190" display="ES-23537" xr:uid="{257AA95F-0B22-4127-82EA-B608C72360E8}"/>
    <hyperlink ref="A100" r:id="rId191" display="ES-22894" xr:uid="{30E30301-26A3-4072-862C-7D82D90E4C11}"/>
    <hyperlink ref="A101" r:id="rId192" display="ES-24265" xr:uid="{08335ECD-B436-4B71-9639-A4261E751969}"/>
    <hyperlink ref="A102" r:id="rId193" display="ES-23700" xr:uid="{1CD4ABD1-DCFC-4837-A63D-ABC1621EA958}"/>
    <hyperlink ref="A103" r:id="rId194" display="ES-23259" xr:uid="{C0AB7D61-D8A7-4271-BD39-11E9D9966D11}"/>
    <hyperlink ref="A104" r:id="rId195" display="ES-22482" xr:uid="{96306D74-30CE-4335-9A7F-21F4545B1867}"/>
    <hyperlink ref="A105" r:id="rId196" display="ES-22393" xr:uid="{96ABE8AC-7406-498D-A1C3-CB349218DB56}"/>
    <hyperlink ref="A106" r:id="rId197" display="ES-24834" xr:uid="{530E9780-1CB3-4C25-9DA9-1C13C8806958}"/>
    <hyperlink ref="A107" r:id="rId198" display="ES-24691" xr:uid="{44DBB3AD-42CF-4D85-B6FE-F36881812367}"/>
    <hyperlink ref="A108" r:id="rId199" display="ES-24662" xr:uid="{FEDA4497-7699-4F0F-9463-3AF7E7123583}"/>
    <hyperlink ref="A109" r:id="rId200" display="ES-24507" xr:uid="{02B1D133-5352-4AE1-88DD-A665EFE01FAB}"/>
    <hyperlink ref="A110" r:id="rId201" display="ES-24443" xr:uid="{BF74973F-ECA4-4C54-8ABA-CC2CD7A67ED9}"/>
    <hyperlink ref="A111" r:id="rId202" display="ES-23488" xr:uid="{4DE80ABC-66B0-473C-BDD6-21802485B655}"/>
    <hyperlink ref="A112" r:id="rId203" display="ES-23486" xr:uid="{823D72B8-254D-4940-8FB8-2677D19147C9}"/>
    <hyperlink ref="A113" r:id="rId204" display="ES-23428" xr:uid="{C321E2E4-9833-4E47-A2D7-2DB26B1E91E3}"/>
    <hyperlink ref="A114" r:id="rId205" display="ES-23310" xr:uid="{8E35D60C-4728-47BF-885A-CCCF46ECACD7}"/>
    <hyperlink ref="A115" r:id="rId206" display="ES-23217" xr:uid="{BA326CAC-50E2-4128-A0E1-B8A02D00E777}"/>
    <hyperlink ref="A116" r:id="rId207" display="ES-23100" xr:uid="{866C765C-2519-4261-924F-3D938C05B906}"/>
    <hyperlink ref="A118" r:id="rId208" display="ES-22918" xr:uid="{FA8D6052-2425-407D-A71E-ECFAB00F1340}"/>
    <hyperlink ref="A119" r:id="rId209" display="ES-22856" xr:uid="{4C2ACC63-9914-4112-8C02-B44291F031A9}"/>
    <hyperlink ref="A120" r:id="rId210" display="ES-22851" xr:uid="{82EFF648-FC75-4FC7-A1B4-B3A6671EDD58}"/>
    <hyperlink ref="A122" r:id="rId211" display="ES-22844" xr:uid="{A569F72F-25C6-47B3-97FA-FE14ECE7E99D}"/>
    <hyperlink ref="A123" r:id="rId212" display="ES-22709" xr:uid="{97098CCF-CFC3-47DA-9181-FBF9E11FFDB8}"/>
    <hyperlink ref="A124" r:id="rId213" display="ES-22667" xr:uid="{AFBEAD42-A87D-462E-BB7E-57745E21C219}"/>
    <hyperlink ref="A125" r:id="rId214" display="ES-22658" xr:uid="{49BA3CC4-FDAD-4AEC-BDCF-D5CA1322A22C}"/>
    <hyperlink ref="A126" r:id="rId215" display="ES-22620" xr:uid="{E5B0EF36-AA7A-4BFC-8D20-612A2D2169A9}"/>
    <hyperlink ref="A127" r:id="rId216" display="ES-22495" xr:uid="{3A2F312A-05A1-4F79-9B21-88764E65FBA1}"/>
    <hyperlink ref="A128" r:id="rId217" display="ES-22494" xr:uid="{7679B173-DA83-4A97-A64D-92105D8CBBFF}"/>
    <hyperlink ref="A129" r:id="rId218" display="ES-22353" xr:uid="{CCC1B730-8344-4739-81F5-B703C889D266}"/>
    <hyperlink ref="A130" r:id="rId219" display="ES-25046" xr:uid="{E98494B5-3B00-4271-8254-DD2F5388E9FD}"/>
    <hyperlink ref="A132" r:id="rId220" display="ES-24855" xr:uid="{0F5CD9A8-5569-4CAB-B346-117B22568665}"/>
    <hyperlink ref="A133" r:id="rId221" display="ES-24125" xr:uid="{5C7B7995-0629-4FB2-8833-693F4D5F2B10}"/>
    <hyperlink ref="A134" r:id="rId222" display="ES-24009" xr:uid="{9EFA300F-AF9F-4082-BF14-4D863BA6AE09}"/>
    <hyperlink ref="A135" r:id="rId223" display="ES-23896" xr:uid="{13AB36A7-3D37-47BA-9380-185AF87C8AF5}"/>
    <hyperlink ref="A136" r:id="rId224" display="ES-23602" xr:uid="{511DD327-DBBA-451E-AE7B-0CE2E42CEA9D}"/>
    <hyperlink ref="A137" r:id="rId225" display="ES-23242" xr:uid="{6B8B46A6-D3CD-4937-9C59-BC75324B7217}"/>
    <hyperlink ref="A139" r:id="rId226" display="ES-23194" xr:uid="{F49ECDD7-37A6-4675-9B2E-E283F0504F58}"/>
    <hyperlink ref="A140" r:id="rId227" display="ES-23166" xr:uid="{15009FA2-2FFA-4221-9D63-C4D47FF99C4A}"/>
    <hyperlink ref="A142" r:id="rId228" display="ES-23157" xr:uid="{5AB9932B-F0E4-4CD3-8497-CE704A95D73F}"/>
    <hyperlink ref="A143" r:id="rId229" display="ES-23129" xr:uid="{AD14BB20-3E1E-48C3-9A62-4C0B816EE279}"/>
    <hyperlink ref="A144" r:id="rId230" display="ES-22678" xr:uid="{31716E62-3BD9-4982-9AAF-7BFB9BD2D5D9}"/>
    <hyperlink ref="A145" r:id="rId231" display="ES-22448" xr:uid="{237D7A5E-F7B3-4ABD-8BFE-106E3A52BB71}"/>
    <hyperlink ref="A146" r:id="rId232" display="ES-22167" xr:uid="{27599D03-C16F-4B08-B41C-AB57AD28C7A6}"/>
    <hyperlink ref="A147" r:id="rId233" display="ES-18552" xr:uid="{23E21922-05C3-4836-8685-03AC29B2E82D}"/>
    <hyperlink ref="A148" r:id="rId234" display="ES-23180" xr:uid="{5F7BA61D-60A9-4707-A96A-E6D9898E9A26}"/>
    <hyperlink ref="A149" r:id="rId235" display="ES-22677" xr:uid="{D1C274D5-367E-4846-9F77-3E81760D3187}"/>
    <hyperlink ref="A150" r:id="rId236" display="ES-22342" xr:uid="{67F7BCAE-2835-4055-A725-BC784BC90591}"/>
    <hyperlink ref="A151" r:id="rId237" display="ES-22341" xr:uid="{9FCE6658-07D7-401C-BCF0-06D69A0E1D5A}"/>
    <hyperlink ref="A152" r:id="rId238" display="ES-25478" xr:uid="{233D15EB-79DA-4654-A381-BDC96EB7A8EF}"/>
    <hyperlink ref="A153" r:id="rId239" display="ES-25395" xr:uid="{7B5CAE4C-AA15-43AF-A4AF-9632AFB74F6D}"/>
    <hyperlink ref="A154" r:id="rId240" display="ES-25384" xr:uid="{C77501F3-EFC3-4CFF-AA3D-0926BC522E5E}"/>
    <hyperlink ref="A155" r:id="rId241" display="ES-24903" xr:uid="{E1CC1157-5E16-4855-A8B2-97B0BE69D87C}"/>
    <hyperlink ref="A156" r:id="rId242" display="ES-24783" xr:uid="{179A3CCA-405C-45A2-B7AE-4FB66B9A3546}"/>
    <hyperlink ref="A157" r:id="rId243" display="ES-24285" xr:uid="{0A66CF2E-5BB2-489D-8050-6F62422766B9}"/>
    <hyperlink ref="A158" r:id="rId244" display="ES-24200" xr:uid="{C8546672-B62C-4C13-9F37-41716898DCB5}"/>
    <hyperlink ref="A159" r:id="rId245" display="ES-23982" xr:uid="{790CD928-FBFC-4A86-B1A9-6E4FEB843913}"/>
    <hyperlink ref="A160" r:id="rId246" display="ES-23899" xr:uid="{1E22EEF0-55DE-48A8-8B54-B2B5A7E1C54C}"/>
    <hyperlink ref="A161" r:id="rId247" display="ES-23690" xr:uid="{4FA3EADF-C479-4EF3-BC59-437CE91DBA00}"/>
    <hyperlink ref="A162" r:id="rId248" display="ES-23070" xr:uid="{F558E21B-59D5-47BC-9117-27EA50A7F9D2}"/>
    <hyperlink ref="A163" r:id="rId249" display="ES-22939" xr:uid="{9BFC7AB4-934C-4BBE-8302-AC42A4D83621}"/>
    <hyperlink ref="A164" r:id="rId250" display="ES-22906" xr:uid="{42F36BA4-5806-4A9F-8E6D-106E0AF53233}"/>
    <hyperlink ref="A165" r:id="rId251" display="ES-22882" xr:uid="{C9144E9C-C420-4D92-929D-0A94876D1A10}"/>
    <hyperlink ref="A166" r:id="rId252" display="ES-22869" xr:uid="{F105D5B2-DC34-468D-AA6E-CCB5E9CE7870}"/>
    <hyperlink ref="A167" r:id="rId253" display="ES-22857" xr:uid="{F4BD8BB4-98F9-4981-BA87-444CD2928E7D}"/>
    <hyperlink ref="A168" r:id="rId254" display="ES-22791" xr:uid="{596FDBCF-36F2-4F77-8772-6EFC096BD787}"/>
    <hyperlink ref="A169" r:id="rId255" display="ES-22691" xr:uid="{1209B0A9-9C51-444D-9234-127F9AC0C90E}"/>
    <hyperlink ref="A170" r:id="rId256" display="ES-22561" xr:uid="{7BA400B0-40ED-45B3-9354-FA3D07D92A97}"/>
    <hyperlink ref="A171" r:id="rId257" display="ES-22550" xr:uid="{19EABFFB-7AC1-4BC3-A750-1B2E66B85CDE}"/>
    <hyperlink ref="A172" r:id="rId258" display="ES-22547" xr:uid="{AB9A4D1E-9BC7-49F6-B686-FCF004E3B932}"/>
    <hyperlink ref="A173" r:id="rId259" display="ES-22539" xr:uid="{696CB064-7E24-4485-A1D4-14E02B0B7735}"/>
    <hyperlink ref="A174" r:id="rId260" display="ES-22447" xr:uid="{73E08B44-5B22-4DD2-97E1-1B9E5C0F5FC3}"/>
    <hyperlink ref="A175" r:id="rId261" display="ES-22373" xr:uid="{A9B63B15-A190-456B-95E5-14080FC73003}"/>
    <hyperlink ref="A176" r:id="rId262" display="ES-22192" xr:uid="{EA69016C-C927-4658-B216-0B61813272F0}"/>
    <hyperlink ref="A177" r:id="rId263" display="ES-22332" xr:uid="{D01AE48E-85A1-4F90-A6AB-910261A7F23A}"/>
    <hyperlink ref="A178" r:id="rId264" display="ES-25669" xr:uid="{A8E0C799-01BF-4A76-AC3B-5A8EF920EC69}"/>
    <hyperlink ref="A179" r:id="rId265" display="ES-18139" xr:uid="{C1FA7C8E-4707-436E-86EC-92EFBB1EAF67}"/>
    <hyperlink ref="A180" r:id="rId266" display="ES-22552" xr:uid="{83BCF8FF-F323-470F-9D1B-F8068C32352A}"/>
    <hyperlink ref="A181" r:id="rId267" display="ES-22895" xr:uid="{A6A6447F-F4B8-46BC-9376-3DA89677DF40}"/>
    <hyperlink ref="A182" r:id="rId268" display="ES-17438" xr:uid="{AB00AA65-B9B1-49C3-9254-C5F2643BA627}"/>
    <hyperlink ref="A183" r:id="rId269" display="ES-24573" xr:uid="{9C2E4C2E-DD8D-46B2-9EFB-CDD7F5AE8B84}"/>
    <hyperlink ref="A184" r:id="rId270" display="ES-24194" xr:uid="{0B65DD23-63FA-49A8-8BCE-6E1B7AC3F302}"/>
    <hyperlink ref="A185" r:id="rId271" display="ES-23050" xr:uid="{F3924768-F5C0-4F1E-AAC6-1AFE8E502B5F}"/>
    <hyperlink ref="A186" r:id="rId272" display="ES-22565" xr:uid="{DAB24804-6E1D-4138-A2B1-A059209A22ED}"/>
    <hyperlink ref="A187" r:id="rId273" display="ES-22496" xr:uid="{92E34490-4A6B-4029-A5EC-86E9F37D150E}"/>
    <hyperlink ref="A188" r:id="rId274" display="ES-22311" xr:uid="{A2396D6E-47A7-44C5-8A2A-DCC2C0515DFC}"/>
    <hyperlink ref="A189" r:id="rId275" display="ES-20658" xr:uid="{DF28FD89-0138-4D65-93F8-AA6BEFB9C492}"/>
    <hyperlink ref="A190" r:id="rId276" display="ES-17874" xr:uid="{CEAD9A93-A1AC-4299-8643-C15729D4D560}"/>
    <hyperlink ref="A194" r:id="rId277" display="ES-23616" xr:uid="{34C1807D-C6BF-4155-A24F-FCC96E058F79}"/>
    <hyperlink ref="A195" r:id="rId278" display="ES-23295" xr:uid="{2A53C132-34D6-41A2-B278-CA002F73E294}"/>
    <hyperlink ref="A196" r:id="rId279" display="ES-23192" xr:uid="{5BE762A9-1E01-4D67-A139-BDBF9070D021}"/>
    <hyperlink ref="A197" r:id="rId280" display="ES-23069" xr:uid="{38F1C18C-EC84-4BB9-9E8C-76221C50BFDC}"/>
    <hyperlink ref="A199" r:id="rId281" display="ES-22973" xr:uid="{3AED7BB0-16BC-4EF5-AB8F-C681AD4E7031}"/>
    <hyperlink ref="A200" r:id="rId282" display="ES-22835" xr:uid="{BEB6F520-5948-4B3E-98B9-F3B27D85661F}"/>
    <hyperlink ref="A201" r:id="rId283" display="ES-22649" xr:uid="{FD250DF5-3603-407D-80A9-9174AEB7FBB1}"/>
    <hyperlink ref="A202" r:id="rId284" display="ES-22648" xr:uid="{B5ADFF91-AE87-4B52-A9E5-A7E0299D376C}"/>
    <hyperlink ref="A204" r:id="rId285" display="ES-22479" xr:uid="{F6352645-FE5A-4459-96D9-3E09BD42730C}"/>
    <hyperlink ref="A206" r:id="rId286" display="ES-22181" xr:uid="{7FDB8F8D-F0DE-4B7F-A635-D20972F1695C}"/>
    <hyperlink ref="A207" r:id="rId287" display="ES-18973" xr:uid="{F8DAEBAB-1E68-4C81-89D5-86B14F89E124}"/>
    <hyperlink ref="A209" r:id="rId288" display="ES-18703" xr:uid="{B335F9E7-D231-4E03-AF69-FF7F9EDCFB50}"/>
    <hyperlink ref="A210" r:id="rId289" display="ES-24590" xr:uid="{2DF40F4B-D208-4EA5-B920-BE32698AD1CC}"/>
    <hyperlink ref="A211" r:id="rId290" display="ES-23108" xr:uid="{642427D7-EC46-4F41-A09B-5304228B950D}"/>
    <hyperlink ref="A212" r:id="rId291" display="ES-25513" xr:uid="{D9FDAE59-77D4-4584-8A4C-61752021DF1B}"/>
    <hyperlink ref="A213" r:id="rId292" display="ES-24688" xr:uid="{26920B2F-A895-42EE-A6E0-A2A37B3AE376}"/>
    <hyperlink ref="A214" r:id="rId293" display="ES-24373" xr:uid="{70B3DCB7-E910-4192-8702-3A5451CCD0F4}"/>
    <hyperlink ref="A215" r:id="rId294" display="ES-24372" xr:uid="{7D4105B4-7E49-4418-B815-2DE359DF678D}"/>
    <hyperlink ref="A216" r:id="rId295" display="ES-24371" xr:uid="{85AFE5D3-BD2E-406E-AC46-BD74BCA6EF28}"/>
    <hyperlink ref="A217" r:id="rId296" display="ES-22700" xr:uid="{83D38999-417E-42D2-914F-24FB6F43BFA3}"/>
    <hyperlink ref="A218" r:id="rId297" display="ES-22591" xr:uid="{E362B5AA-78EB-451C-A308-33E5F975427B}"/>
    <hyperlink ref="A219" r:id="rId298" display="ES-22556" xr:uid="{1A8935B6-762E-4881-8011-3657D29F897E}"/>
    <hyperlink ref="A220" r:id="rId299" display="ES-22555" xr:uid="{4475876F-6CA6-4DB3-A702-0AC61464B325}"/>
    <hyperlink ref="A221" r:id="rId300" display="ES-22554" xr:uid="{A395B5A3-C961-450F-ACA7-7F594EF86773}"/>
    <hyperlink ref="A222" r:id="rId301" display="ES-22553" xr:uid="{A44EA3F3-AE84-4963-A414-538CB7C0B4D2}"/>
    <hyperlink ref="A223" r:id="rId302" display="ES-24308" xr:uid="{B57C6052-0818-4E1C-964A-59E8279F3F31}"/>
    <hyperlink ref="A224" r:id="rId303" display="ES-22928" xr:uid="{B245782F-FC65-4937-AFED-D318309DF9AE}"/>
    <hyperlink ref="A225" r:id="rId304" display="ES-20644" xr:uid="{8CBFB057-CE0F-4EEE-84A3-061558F4AC29}"/>
    <hyperlink ref="A226" r:id="rId305" display="ES-22584" xr:uid="{6C8A43E8-132D-40F4-A0A0-0B06C0468146}"/>
    <hyperlink ref="A227" r:id="rId306" display="ES-24856" xr:uid="{09193473-6826-43FB-AAEF-30765ADF7FCE}"/>
    <hyperlink ref="A230" r:id="rId307" display="ES-24763" xr:uid="{057E2B2C-8234-4B43-85D8-80FD1A952BB4}"/>
    <hyperlink ref="A231" r:id="rId308" display="ES-24011" xr:uid="{F0D41D57-47E9-4503-9CC2-83C3C4545807}"/>
    <hyperlink ref="A232" r:id="rId309" display="ES-23726" xr:uid="{4DB9862D-1C1C-4E7A-9904-29D2ACB5C431}"/>
    <hyperlink ref="A233" r:id="rId310" display="ES-22876" xr:uid="{5CD2AADC-A75E-49F1-8FB6-DEAFFA3ED001}"/>
    <hyperlink ref="A235" r:id="rId311" display="ES-20485" xr:uid="{369FD947-A058-4ED9-BB4D-2E4903DE834A}"/>
    <hyperlink ref="A236" r:id="rId312" display="ES-22652" xr:uid="{4B9C4DE4-A3E4-4AA3-97B2-A101F04DB1C7}"/>
    <hyperlink ref="A237" r:id="rId313" display="ES-24461" xr:uid="{5341B710-0F5F-4E5F-B514-45305A33E753}"/>
    <hyperlink ref="A238" r:id="rId314" display="ES-18960" xr:uid="{05E550C5-829E-4C32-B199-A575C2FCBEF2}"/>
    <hyperlink ref="A240" r:id="rId315" display="ES-25658" xr:uid="{8C917F24-F6C5-4DEA-B3C1-C24168E8D819}"/>
    <hyperlink ref="A241" r:id="rId316" display="ES-24032" xr:uid="{1A369211-6D7C-4DDC-83CB-32F6487A2CC0}"/>
    <hyperlink ref="A242" r:id="rId317" display="ES-24617" xr:uid="{904F154E-8B5B-4018-966E-5CE13E3C3139}"/>
    <hyperlink ref="A269" r:id="rId318" display="ES-22527" xr:uid="{55F92920-E5FB-4B26-A8F8-E502DFA0F07D}"/>
    <hyperlink ref="A270" r:id="rId319" display="ES-22531" xr:uid="{8EE79CAD-6071-42E3-833B-8D6FD4806AE8}"/>
    <hyperlink ref="A271" r:id="rId320" display="ES-22197" xr:uid="{20E86E0D-5512-42ED-8589-ED4173FCDBA3}"/>
    <hyperlink ref="A272" r:id="rId321" display="ES-20607" xr:uid="{326EB081-46A8-4783-B56F-35723A73C334}"/>
    <hyperlink ref="A273" r:id="rId322" display="ES-19321" xr:uid="{747E92F1-F2C5-4876-BEF5-393FB5BE243E}"/>
    <hyperlink ref="A274" r:id="rId323" display="ES-17710" xr:uid="{01A821A5-85D0-4866-B8EB-D3FA4C72D093}"/>
    <hyperlink ref="A275" r:id="rId324" display="ES-17251" xr:uid="{977C9DA6-EE4E-4F4B-8ECA-E7C87FD8B633}"/>
    <hyperlink ref="A276" r:id="rId325" display="ES-17250" xr:uid="{BD7F6FB8-87CB-4734-BDC2-D38396DE58BE}"/>
    <hyperlink ref="A277" r:id="rId326" display="ES-17162" xr:uid="{06401CA5-6012-4AC2-9763-752509D65745}"/>
    <hyperlink ref="A278" r:id="rId327" display="ES-17027" xr:uid="{7737C76A-49BE-4C23-B074-D3723405CD4B}"/>
    <hyperlink ref="A279" r:id="rId328" display="ES-17049" xr:uid="{56F2D01F-70C4-4368-BCED-6943CA0C67AC}"/>
    <hyperlink ref="A280" r:id="rId329" display="ES-16886" xr:uid="{C492E75B-F030-4A97-A418-CAC4EEEDF5D0}"/>
    <hyperlink ref="A247" r:id="rId330" display="ES-25429" xr:uid="{DC62C7AB-2505-4913-B391-8FA2C1393E2D}"/>
    <hyperlink ref="A248" r:id="rId331" display="ES-25794" xr:uid="{C55E9A80-92FF-4216-A14A-A62E4A672CE7}"/>
    <hyperlink ref="A249" r:id="rId332" display="ES-25605" xr:uid="{76F4C07E-406D-492C-A7FA-1A74F3CEB534}"/>
    <hyperlink ref="A250" r:id="rId333" display="ES-25021" xr:uid="{75F9C936-DB80-4A44-AA94-5DE099D621C2}"/>
    <hyperlink ref="A251" r:id="rId334" display="ES-24284" xr:uid="{76035059-4A31-4875-9EFD-F18CCE4AC7B7}"/>
    <hyperlink ref="A252" r:id="rId335" display="ES-24202" xr:uid="{755AF2CB-209B-4457-B14C-027873E913DE}"/>
    <hyperlink ref="A253" r:id="rId336" display="ES-23983" xr:uid="{0308494B-CA9B-4079-9400-41C5AB1B871B}"/>
    <hyperlink ref="A254" r:id="rId337" display="ES-23635" xr:uid="{78EAEB81-B919-41F0-88DF-24EFAB390F3D}"/>
    <hyperlink ref="A255" r:id="rId338" display="ES-23618" xr:uid="{E06504C5-A590-49CB-8FB9-2819D757A3DE}"/>
    <hyperlink ref="A256" r:id="rId339" display="ES-23262" xr:uid="{7E7A08DC-9460-42A8-BDAC-12D54B46CE60}"/>
    <hyperlink ref="A257" r:id="rId340" display="ES-22540" xr:uid="{0A789580-2E76-46EE-86A2-C37EDAB6CAE8}"/>
    <hyperlink ref="A258" r:id="rId341" display="ES-22530" xr:uid="{9EF8984C-EAEC-4860-9EF8-628ACE75765B}"/>
    <hyperlink ref="A259" r:id="rId342" display="ES-22504" xr:uid="{5D2001F0-6A88-413E-BE21-30ABD284021A}"/>
    <hyperlink ref="A262" r:id="rId343" display="ES-22270" xr:uid="{0EC8DCA8-125F-4537-B81A-E76ABF8C43C3}"/>
    <hyperlink ref="A263" r:id="rId344" display="ES-18534" xr:uid="{535794A9-2D72-400A-9A6D-58300FBFC279}"/>
    <hyperlink ref="A264" r:id="rId345" display="ES-11058" xr:uid="{6E57CD96-5D00-4F1E-AE88-407BC3D9802F}"/>
    <hyperlink ref="A265" r:id="rId346" display="ES-22529" xr:uid="{43205AEB-4095-40A7-A1B2-0F6D234C8C81}"/>
    <hyperlink ref="A266" r:id="rId347" display="ES-22525" xr:uid="{DE3937D8-2939-415A-BD4D-2E578FC71B1C}"/>
    <hyperlink ref="A267" r:id="rId348" display="ES-24039" xr:uid="{5C88831A-EBEC-4F7D-B51F-97BBDD091246}"/>
  </hyperlink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H245"/>
  <sheetViews>
    <sheetView workbookViewId="0">
      <pane ySplit="3" topLeftCell="A4" activePane="bottomLeft" state="frozen"/>
      <selection pane="bottomLeft" activeCell="A4" sqref="A4"/>
    </sheetView>
  </sheetViews>
  <sheetFormatPr defaultColWidth="12.7265625" defaultRowHeight="15" customHeight="1" x14ac:dyDescent="0.7"/>
  <cols>
    <col min="1" max="1" width="12.7265625" style="34" customWidth="1"/>
    <col min="2" max="2" width="46.1328125" style="34" customWidth="1"/>
    <col min="3" max="3" width="59.1328125" style="34" customWidth="1"/>
    <col min="4" max="4" width="11.86328125" style="37" customWidth="1"/>
    <col min="5" max="5" width="9.7265625" style="37" customWidth="1"/>
    <col min="6" max="6" width="13.1328125" style="37" customWidth="1"/>
    <col min="7" max="7" width="14.26953125" style="51" customWidth="1"/>
    <col min="8" max="8" width="57.1328125" style="37" customWidth="1"/>
    <col min="9" max="16384" width="12.7265625" style="34"/>
  </cols>
  <sheetData>
    <row r="1" spans="1:8" ht="66.75" customHeight="1" thickBot="1" x14ac:dyDescent="0.85">
      <c r="A1" s="166" t="s">
        <v>1765</v>
      </c>
      <c r="B1" s="167"/>
      <c r="C1" s="167"/>
      <c r="D1" s="167"/>
      <c r="E1" s="167"/>
      <c r="F1" s="167"/>
      <c r="G1" s="167"/>
      <c r="H1" s="168"/>
    </row>
    <row r="2" spans="1:8" ht="21" customHeight="1" x14ac:dyDescent="0.7">
      <c r="A2" s="35"/>
      <c r="B2" s="36"/>
      <c r="E2" s="36"/>
      <c r="F2" s="36"/>
      <c r="G2" s="47"/>
      <c r="H2" s="36"/>
    </row>
    <row r="3" spans="1:8" s="39" customFormat="1" ht="27.75" customHeight="1" x14ac:dyDescent="0.7">
      <c r="A3" s="38" t="s">
        <v>775</v>
      </c>
      <c r="B3" s="38" t="s">
        <v>9</v>
      </c>
      <c r="C3" s="38" t="s">
        <v>3</v>
      </c>
      <c r="D3" s="38" t="s">
        <v>314</v>
      </c>
      <c r="E3" s="38" t="s">
        <v>0</v>
      </c>
      <c r="F3" s="38" t="s">
        <v>788</v>
      </c>
      <c r="G3" s="48" t="s">
        <v>789</v>
      </c>
      <c r="H3" s="38" t="s">
        <v>337</v>
      </c>
    </row>
    <row r="4" spans="1:8" ht="15.75" customHeight="1" x14ac:dyDescent="0.7">
      <c r="A4" s="40" t="str">
        <f>HYPERLINK("https://bluetooth.atlassian.net/browse/ES-17107","17107")</f>
        <v>17107</v>
      </c>
      <c r="B4" s="41" t="s">
        <v>790</v>
      </c>
      <c r="C4" s="41" t="s">
        <v>791</v>
      </c>
      <c r="D4" s="41" t="s">
        <v>304</v>
      </c>
      <c r="E4" s="42" t="s">
        <v>2</v>
      </c>
      <c r="F4" s="41"/>
      <c r="G4" s="46"/>
      <c r="H4" s="41"/>
    </row>
    <row r="5" spans="1:8" ht="15.75" customHeight="1" x14ac:dyDescent="0.7">
      <c r="A5" s="43" t="str">
        <f>HYPERLINK("https://bluetooth.atlassian.net/browse/ES-11702","11702")</f>
        <v>11702</v>
      </c>
      <c r="B5" s="44" t="s">
        <v>639</v>
      </c>
      <c r="C5" s="44" t="s">
        <v>19</v>
      </c>
      <c r="D5" s="44" t="s">
        <v>307</v>
      </c>
      <c r="E5" s="45" t="s">
        <v>1</v>
      </c>
      <c r="F5" s="44">
        <v>4</v>
      </c>
      <c r="G5" s="63" t="str">
        <f>HYPERLINK("https://bluetooth.atlassian.net/browse/ES-16290","16290")</f>
        <v>16290</v>
      </c>
      <c r="H5" s="44" t="s">
        <v>792</v>
      </c>
    </row>
    <row r="6" spans="1:8" ht="15.75" customHeight="1" x14ac:dyDescent="0.7">
      <c r="A6" s="40" t="str">
        <f>HYPERLINK("https://bluetooth.atlassian.net/browse/ES-16927","16927")</f>
        <v>16927</v>
      </c>
      <c r="B6" s="41" t="s">
        <v>793</v>
      </c>
      <c r="C6" s="41" t="s">
        <v>130</v>
      </c>
      <c r="D6" s="41" t="s">
        <v>304</v>
      </c>
      <c r="E6" s="42" t="s">
        <v>2</v>
      </c>
      <c r="F6" s="41"/>
      <c r="G6" s="46"/>
      <c r="H6" s="41"/>
    </row>
    <row r="7" spans="1:8" ht="15.75" customHeight="1" x14ac:dyDescent="0.7">
      <c r="A7" s="43" t="str">
        <f>HYPERLINK("https://bluetooth.atlassian.net/browse/ES-18234","18234")</f>
        <v>18234</v>
      </c>
      <c r="B7" s="44" t="s">
        <v>794</v>
      </c>
      <c r="C7" s="44" t="s">
        <v>795</v>
      </c>
      <c r="D7" s="44" t="s">
        <v>304</v>
      </c>
      <c r="E7" s="45" t="s">
        <v>2</v>
      </c>
      <c r="F7" s="44"/>
      <c r="G7" s="49"/>
      <c r="H7" s="44"/>
    </row>
    <row r="8" spans="1:8" ht="15.75" customHeight="1" x14ac:dyDescent="0.7">
      <c r="A8" s="40" t="str">
        <f>HYPERLINK("https://bluetooth.atlassian.net/browse/ES-16097","16097")</f>
        <v>16097</v>
      </c>
      <c r="B8" s="41" t="s">
        <v>266</v>
      </c>
      <c r="C8" s="41" t="s">
        <v>796</v>
      </c>
      <c r="D8" s="41" t="s">
        <v>305</v>
      </c>
      <c r="E8" s="42" t="s">
        <v>2</v>
      </c>
      <c r="F8" s="41"/>
      <c r="G8" s="46"/>
      <c r="H8" s="41"/>
    </row>
    <row r="9" spans="1:8" ht="15.75" customHeight="1" x14ac:dyDescent="0.7">
      <c r="A9" s="43" t="str">
        <f>HYPERLINK("https://bluetooth.atlassian.net/browse/ES-17755","17755")</f>
        <v>17755</v>
      </c>
      <c r="B9" s="44" t="s">
        <v>797</v>
      </c>
      <c r="C9" s="44" t="s">
        <v>798</v>
      </c>
      <c r="D9" s="44" t="s">
        <v>305</v>
      </c>
      <c r="E9" s="45" t="s">
        <v>2</v>
      </c>
      <c r="F9" s="44"/>
      <c r="G9" s="49"/>
      <c r="H9" s="44"/>
    </row>
    <row r="10" spans="1:8" ht="15.75" customHeight="1" x14ac:dyDescent="0.7">
      <c r="A10" s="40" t="str">
        <f>HYPERLINK("https://bluetooth.atlassian.net/browse/ES-20604","20604")</f>
        <v>20604</v>
      </c>
      <c r="B10" s="41" t="s">
        <v>797</v>
      </c>
      <c r="C10" s="41" t="s">
        <v>799</v>
      </c>
      <c r="D10" s="41" t="s">
        <v>307</v>
      </c>
      <c r="E10" s="42" t="s">
        <v>2</v>
      </c>
      <c r="F10" s="41"/>
      <c r="G10" s="46"/>
      <c r="H10" s="41"/>
    </row>
    <row r="11" spans="1:8" ht="15.75" customHeight="1" x14ac:dyDescent="0.7">
      <c r="A11" s="43" t="str">
        <f>HYPERLINK("https://bluetooth.atlassian.net/browse/ES-17013","17013")</f>
        <v>17013</v>
      </c>
      <c r="B11" s="44" t="s">
        <v>800</v>
      </c>
      <c r="C11" s="44" t="s">
        <v>801</v>
      </c>
      <c r="D11" s="44" t="s">
        <v>304</v>
      </c>
      <c r="E11" s="45" t="s">
        <v>2</v>
      </c>
      <c r="F11" s="44"/>
      <c r="G11" s="49"/>
      <c r="H11" s="44"/>
    </row>
    <row r="12" spans="1:8" ht="15.75" customHeight="1" x14ac:dyDescent="0.7">
      <c r="A12" s="40" t="str">
        <f>HYPERLINK("https://bluetooth.atlassian.net/browse/ES-19088","19088")</f>
        <v>19088</v>
      </c>
      <c r="B12" s="41" t="s">
        <v>802</v>
      </c>
      <c r="C12" s="41" t="s">
        <v>803</v>
      </c>
      <c r="D12" s="41" t="s">
        <v>304</v>
      </c>
      <c r="E12" s="42" t="s">
        <v>2</v>
      </c>
      <c r="F12" s="41"/>
      <c r="G12" s="46"/>
      <c r="H12" s="41"/>
    </row>
    <row r="13" spans="1:8" ht="15.75" customHeight="1" x14ac:dyDescent="0.7">
      <c r="A13" s="43" t="str">
        <f>HYPERLINK("https://bluetooth.atlassian.net/browse/ES-18654","18654")</f>
        <v>18654</v>
      </c>
      <c r="B13" s="44" t="s">
        <v>802</v>
      </c>
      <c r="C13" s="44" t="s">
        <v>804</v>
      </c>
      <c r="D13" s="44" t="s">
        <v>304</v>
      </c>
      <c r="E13" s="45" t="s">
        <v>2</v>
      </c>
      <c r="F13" s="44"/>
      <c r="G13" s="49"/>
      <c r="H13" s="44"/>
    </row>
    <row r="14" spans="1:8" ht="24" customHeight="1" x14ac:dyDescent="0.7">
      <c r="A14" s="40" t="str">
        <f>HYPERLINK("https://bluetooth.atlassian.net/browse/ES-17466","17466")</f>
        <v>17466</v>
      </c>
      <c r="B14" s="41" t="s">
        <v>802</v>
      </c>
      <c r="C14" s="41" t="s">
        <v>805</v>
      </c>
      <c r="D14" s="41" t="s">
        <v>304</v>
      </c>
      <c r="E14" s="42" t="s">
        <v>1</v>
      </c>
      <c r="F14" s="41"/>
      <c r="G14" s="52" t="str">
        <f>HYPERLINK("https://bluetooth.atlassian.net/browse/ES-18900","18900")</f>
        <v>18900</v>
      </c>
      <c r="H14" s="41" t="s">
        <v>1768</v>
      </c>
    </row>
    <row r="15" spans="1:8" ht="14.25" customHeight="1" x14ac:dyDescent="0.7">
      <c r="A15" s="43" t="str">
        <f>HYPERLINK("https://bluetooth.atlassian.net/browse/ES-17383","17383")</f>
        <v>17383</v>
      </c>
      <c r="B15" s="44" t="s">
        <v>802</v>
      </c>
      <c r="C15" s="44" t="s">
        <v>806</v>
      </c>
      <c r="D15" s="44" t="s">
        <v>304</v>
      </c>
      <c r="E15" s="45" t="s">
        <v>2</v>
      </c>
      <c r="F15" s="44"/>
      <c r="G15" s="49"/>
      <c r="H15" s="44"/>
    </row>
    <row r="16" spans="1:8" ht="17.25" customHeight="1" x14ac:dyDescent="0.7">
      <c r="A16" s="40" t="str">
        <f>HYPERLINK("https://bluetooth.atlassian.net/browse/ES-17730","17730")</f>
        <v>17730</v>
      </c>
      <c r="B16" s="41" t="s">
        <v>802</v>
      </c>
      <c r="C16" s="41" t="s">
        <v>807</v>
      </c>
      <c r="D16" s="41" t="s">
        <v>305</v>
      </c>
      <c r="E16" s="42" t="s">
        <v>2</v>
      </c>
      <c r="F16" s="41"/>
      <c r="G16" s="46"/>
      <c r="H16" s="41"/>
    </row>
    <row r="17" spans="1:8" ht="15.75" customHeight="1" x14ac:dyDescent="0.7">
      <c r="A17" s="43" t="str">
        <f>HYPERLINK("https://bluetooth.atlassian.net/browse/ES-17354","17354")</f>
        <v>17354</v>
      </c>
      <c r="B17" s="44" t="s">
        <v>802</v>
      </c>
      <c r="C17" s="44" t="s">
        <v>808</v>
      </c>
      <c r="D17" s="44" t="s">
        <v>305</v>
      </c>
      <c r="E17" s="45" t="s">
        <v>2</v>
      </c>
      <c r="F17" s="44"/>
      <c r="G17" s="49"/>
      <c r="H17" s="44"/>
    </row>
    <row r="18" spans="1:8" ht="27.75" customHeight="1" x14ac:dyDescent="0.7">
      <c r="A18" s="40">
        <v>17830</v>
      </c>
      <c r="B18" s="41" t="s">
        <v>809</v>
      </c>
      <c r="C18" s="41" t="s">
        <v>810</v>
      </c>
      <c r="D18" s="41" t="s">
        <v>307</v>
      </c>
      <c r="E18" s="42" t="s">
        <v>1</v>
      </c>
      <c r="F18" s="41">
        <v>2</v>
      </c>
      <c r="G18" s="52" t="s">
        <v>1105</v>
      </c>
      <c r="H18" s="115" t="s">
        <v>1242</v>
      </c>
    </row>
    <row r="19" spans="1:8" ht="15.75" customHeight="1" x14ac:dyDescent="0.7">
      <c r="A19" s="43" t="str">
        <f>HYPERLINK("https://bluetooth.atlassian.net/browse/ES-20402","20402")</f>
        <v>20402</v>
      </c>
      <c r="B19" s="44" t="s">
        <v>811</v>
      </c>
      <c r="C19" s="44" t="s">
        <v>812</v>
      </c>
      <c r="D19" s="44" t="s">
        <v>305</v>
      </c>
      <c r="E19" s="45" t="s">
        <v>1</v>
      </c>
      <c r="F19" s="44"/>
      <c r="G19" s="50">
        <f>HYPERLINK("https://bluetooth.atlassian.net/browse/ES-22307 ",22307)</f>
        <v>22307</v>
      </c>
      <c r="H19" s="44" t="s">
        <v>813</v>
      </c>
    </row>
    <row r="20" spans="1:8" ht="15.75" customHeight="1" x14ac:dyDescent="0.7">
      <c r="A20" s="40" t="str">
        <f>HYPERLINK("https://bluetooth.atlassian.net/browse/ES-17591","17591")</f>
        <v>17591</v>
      </c>
      <c r="B20" s="41" t="s">
        <v>814</v>
      </c>
      <c r="C20" s="41" t="s">
        <v>815</v>
      </c>
      <c r="D20" s="41" t="s">
        <v>304</v>
      </c>
      <c r="E20" s="42" t="s">
        <v>2</v>
      </c>
      <c r="F20" s="41"/>
      <c r="G20" s="46"/>
      <c r="H20" s="41"/>
    </row>
    <row r="21" spans="1:8" ht="15.75" customHeight="1" x14ac:dyDescent="0.7">
      <c r="A21" s="43" t="str">
        <f>HYPERLINK("https://bluetooth.atlassian.net/browse/ES-17926","17926")</f>
        <v>17926</v>
      </c>
      <c r="B21" s="44" t="s">
        <v>816</v>
      </c>
      <c r="C21" s="44" t="s">
        <v>817</v>
      </c>
      <c r="D21" s="44" t="s">
        <v>304</v>
      </c>
      <c r="E21" s="45" t="s">
        <v>2</v>
      </c>
      <c r="F21" s="44"/>
      <c r="G21" s="49"/>
      <c r="H21" s="44"/>
    </row>
    <row r="22" spans="1:8" ht="15.75" customHeight="1" x14ac:dyDescent="0.7">
      <c r="A22" s="40" t="str">
        <f>HYPERLINK("https://bluetooth.atlassian.net/browse/ES-17430","17430")</f>
        <v>17430</v>
      </c>
      <c r="B22" s="41" t="s">
        <v>816</v>
      </c>
      <c r="C22" s="41" t="s">
        <v>818</v>
      </c>
      <c r="D22" s="41" t="s">
        <v>304</v>
      </c>
      <c r="E22" s="42" t="s">
        <v>2</v>
      </c>
      <c r="F22" s="41"/>
      <c r="G22" s="46"/>
      <c r="H22" s="41"/>
    </row>
    <row r="23" spans="1:8" ht="15.75" customHeight="1" x14ac:dyDescent="0.7">
      <c r="A23" s="43" t="str">
        <f>HYPERLINK("https://bluetooth.atlassian.net/browse/ES-18737","18737")</f>
        <v>18737</v>
      </c>
      <c r="B23" s="44" t="s">
        <v>816</v>
      </c>
      <c r="C23" s="44" t="s">
        <v>819</v>
      </c>
      <c r="D23" s="44" t="s">
        <v>305</v>
      </c>
      <c r="E23" s="45" t="s">
        <v>2</v>
      </c>
      <c r="F23" s="44"/>
      <c r="G23" s="49"/>
      <c r="H23" s="44"/>
    </row>
    <row r="24" spans="1:8" ht="15.75" customHeight="1" x14ac:dyDescent="0.7">
      <c r="A24" s="40" t="str">
        <f>HYPERLINK("https://bluetooth.atlassian.net/browse/ES-17888","17888")</f>
        <v>17888</v>
      </c>
      <c r="B24" s="41" t="s">
        <v>816</v>
      </c>
      <c r="C24" s="41" t="s">
        <v>820</v>
      </c>
      <c r="D24" s="41" t="s">
        <v>307</v>
      </c>
      <c r="E24" s="42" t="s">
        <v>2</v>
      </c>
      <c r="F24" s="41"/>
      <c r="G24" s="46"/>
      <c r="H24" s="41"/>
    </row>
    <row r="25" spans="1:8" ht="15.75" customHeight="1" x14ac:dyDescent="0.7">
      <c r="A25" s="43" t="str">
        <f>HYPERLINK("https://bluetooth.atlassian.net/browse/ES-16940","16940")</f>
        <v>16940</v>
      </c>
      <c r="B25" s="44" t="s">
        <v>821</v>
      </c>
      <c r="C25" s="44" t="s">
        <v>822</v>
      </c>
      <c r="D25" s="44" t="s">
        <v>304</v>
      </c>
      <c r="E25" s="45" t="s">
        <v>2</v>
      </c>
      <c r="F25" s="44"/>
      <c r="G25" s="49"/>
      <c r="H25" s="44"/>
    </row>
    <row r="26" spans="1:8" ht="15.75" customHeight="1" x14ac:dyDescent="0.7">
      <c r="A26" s="40" t="str">
        <f>HYPERLINK("https://bluetooth.atlassian.net/browse/ES-15605","15605")</f>
        <v>15605</v>
      </c>
      <c r="B26" s="41" t="s">
        <v>821</v>
      </c>
      <c r="C26" s="41" t="s">
        <v>823</v>
      </c>
      <c r="D26" s="41" t="s">
        <v>304</v>
      </c>
      <c r="E26" s="42" t="s">
        <v>2</v>
      </c>
      <c r="F26" s="41"/>
      <c r="G26" s="46"/>
      <c r="H26" s="41"/>
    </row>
    <row r="27" spans="1:8" ht="15.75" customHeight="1" x14ac:dyDescent="0.7">
      <c r="A27" s="43" t="str">
        <f>HYPERLINK("https://bluetooth.atlassian.net/browse/ES-17057","17057")</f>
        <v>17057</v>
      </c>
      <c r="B27" s="44" t="s">
        <v>824</v>
      </c>
      <c r="C27" s="44" t="s">
        <v>825</v>
      </c>
      <c r="D27" s="44" t="s">
        <v>304</v>
      </c>
      <c r="E27" s="45" t="s">
        <v>2</v>
      </c>
      <c r="F27" s="44"/>
      <c r="G27" s="49"/>
      <c r="H27" s="44"/>
    </row>
    <row r="28" spans="1:8" ht="15.75" customHeight="1" x14ac:dyDescent="0.7">
      <c r="A28" s="40" t="str">
        <f>HYPERLINK("https://bluetooth.atlassian.net/browse/ES-16963","16963")</f>
        <v>16963</v>
      </c>
      <c r="B28" s="41" t="s">
        <v>824</v>
      </c>
      <c r="C28" s="41" t="s">
        <v>826</v>
      </c>
      <c r="D28" s="41" t="s">
        <v>304</v>
      </c>
      <c r="E28" s="42" t="s">
        <v>2</v>
      </c>
      <c r="F28" s="41"/>
      <c r="G28" s="46"/>
      <c r="H28" s="41"/>
    </row>
    <row r="29" spans="1:8" ht="15.75" customHeight="1" x14ac:dyDescent="0.7">
      <c r="A29" s="43" t="str">
        <f>HYPERLINK("https://bluetooth.atlassian.net/browse/ES-15539","15539")</f>
        <v>15539</v>
      </c>
      <c r="B29" s="44" t="s">
        <v>824</v>
      </c>
      <c r="C29" s="44" t="s">
        <v>827</v>
      </c>
      <c r="D29" s="44" t="s">
        <v>304</v>
      </c>
      <c r="E29" s="45" t="s">
        <v>2</v>
      </c>
      <c r="F29" s="44"/>
      <c r="G29" s="49"/>
      <c r="H29" s="44"/>
    </row>
    <row r="30" spans="1:8" ht="15.75" customHeight="1" x14ac:dyDescent="0.7">
      <c r="A30" s="40" t="str">
        <f>HYPERLINK("https://bluetooth.atlassian.net/browse/ES-15538","15538")</f>
        <v>15538</v>
      </c>
      <c r="B30" s="41" t="s">
        <v>824</v>
      </c>
      <c r="C30" s="41" t="s">
        <v>828</v>
      </c>
      <c r="D30" s="41" t="s">
        <v>304</v>
      </c>
      <c r="E30" s="42" t="s">
        <v>2</v>
      </c>
      <c r="F30" s="41"/>
      <c r="G30" s="46"/>
      <c r="H30" s="41"/>
    </row>
    <row r="31" spans="1:8" ht="15.75" customHeight="1" x14ac:dyDescent="0.7">
      <c r="A31" s="43" t="str">
        <f>HYPERLINK("https://bluetooth.atlassian.net/browse/ES-15537","15537")</f>
        <v>15537</v>
      </c>
      <c r="B31" s="44" t="s">
        <v>824</v>
      </c>
      <c r="C31" s="44" t="s">
        <v>829</v>
      </c>
      <c r="D31" s="44" t="s">
        <v>304</v>
      </c>
      <c r="E31" s="45" t="s">
        <v>2</v>
      </c>
      <c r="F31" s="44"/>
      <c r="G31" s="49"/>
      <c r="H31" s="44"/>
    </row>
    <row r="32" spans="1:8" ht="15.75" customHeight="1" x14ac:dyDescent="0.7">
      <c r="A32" s="40" t="str">
        <f>HYPERLINK("https://bluetooth.atlassian.net/browse/ES-15536","15536")</f>
        <v>15536</v>
      </c>
      <c r="B32" s="41" t="s">
        <v>824</v>
      </c>
      <c r="C32" s="41" t="s">
        <v>830</v>
      </c>
      <c r="D32" s="41" t="s">
        <v>304</v>
      </c>
      <c r="E32" s="42" t="s">
        <v>1</v>
      </c>
      <c r="F32" s="41">
        <v>3</v>
      </c>
      <c r="G32" s="52" t="str">
        <f>HYPERLINK("https://bluetooth.atlassian.net/browse/ES-20641","20641")</f>
        <v>20641</v>
      </c>
      <c r="H32" s="41" t="s">
        <v>831</v>
      </c>
    </row>
    <row r="33" spans="1:8" ht="15.75" customHeight="1" x14ac:dyDescent="0.7">
      <c r="A33" s="43" t="str">
        <f>HYPERLINK("https://bluetooth.atlassian.net/browse/ES-15535","15535")</f>
        <v>15535</v>
      </c>
      <c r="B33" s="44" t="s">
        <v>824</v>
      </c>
      <c r="C33" s="44" t="s">
        <v>832</v>
      </c>
      <c r="D33" s="44" t="s">
        <v>304</v>
      </c>
      <c r="E33" s="45" t="s">
        <v>2</v>
      </c>
      <c r="F33" s="44"/>
      <c r="G33" s="49"/>
      <c r="H33" s="44"/>
    </row>
    <row r="34" spans="1:8" ht="15.75" customHeight="1" x14ac:dyDescent="0.7">
      <c r="A34" s="40" t="str">
        <f>HYPERLINK("https://bluetooth.atlassian.net/browse/ES-15534","15534")</f>
        <v>15534</v>
      </c>
      <c r="B34" s="41" t="s">
        <v>824</v>
      </c>
      <c r="C34" s="41" t="s">
        <v>833</v>
      </c>
      <c r="D34" s="41" t="s">
        <v>304</v>
      </c>
      <c r="E34" s="42" t="s">
        <v>2</v>
      </c>
      <c r="F34" s="41"/>
      <c r="G34" s="46"/>
      <c r="H34" s="41"/>
    </row>
    <row r="35" spans="1:8" ht="15.75" customHeight="1" x14ac:dyDescent="0.7">
      <c r="A35" s="43" t="str">
        <f>HYPERLINK("https://bluetooth.atlassian.net/browse/ES-10969","10969")</f>
        <v>10969</v>
      </c>
      <c r="B35" s="44" t="s">
        <v>834</v>
      </c>
      <c r="C35" s="44" t="s">
        <v>835</v>
      </c>
      <c r="D35" s="44" t="s">
        <v>304</v>
      </c>
      <c r="E35" s="45" t="s">
        <v>2</v>
      </c>
      <c r="F35" s="44"/>
      <c r="G35" s="49"/>
      <c r="H35" s="44"/>
    </row>
    <row r="36" spans="1:8" ht="15.75" customHeight="1" x14ac:dyDescent="0.7">
      <c r="A36" s="40" t="str">
        <f>HYPERLINK("https://bluetooth.atlassian.net/browse/ES-20635","20635")</f>
        <v>20635</v>
      </c>
      <c r="B36" s="41" t="s">
        <v>836</v>
      </c>
      <c r="C36" s="41" t="s">
        <v>837</v>
      </c>
      <c r="D36" s="41" t="s">
        <v>304</v>
      </c>
      <c r="E36" s="42" t="s">
        <v>2</v>
      </c>
      <c r="F36" s="41"/>
      <c r="G36" s="46"/>
      <c r="H36" s="41"/>
    </row>
    <row r="37" spans="1:8" ht="15.75" customHeight="1" x14ac:dyDescent="0.7">
      <c r="A37" s="43" t="str">
        <f>HYPERLINK("https://bluetooth.atlassian.net/browse/ES-20605","20605")</f>
        <v>20605</v>
      </c>
      <c r="B37" s="44" t="s">
        <v>836</v>
      </c>
      <c r="C37" s="44" t="s">
        <v>838</v>
      </c>
      <c r="D37" s="44" t="s">
        <v>304</v>
      </c>
      <c r="E37" s="45" t="s">
        <v>2</v>
      </c>
      <c r="F37" s="44"/>
      <c r="G37" s="49"/>
      <c r="H37" s="44"/>
    </row>
    <row r="38" spans="1:8" ht="15.75" customHeight="1" x14ac:dyDescent="0.7">
      <c r="A38" s="40" t="str">
        <f>HYPERLINK("https://bluetooth.atlassian.net/browse/ES-20589","20589")</f>
        <v>20589</v>
      </c>
      <c r="B38" s="41" t="s">
        <v>836</v>
      </c>
      <c r="C38" s="41" t="s">
        <v>839</v>
      </c>
      <c r="D38" s="41" t="s">
        <v>304</v>
      </c>
      <c r="E38" s="42" t="s">
        <v>2</v>
      </c>
      <c r="F38" s="41"/>
      <c r="G38" s="46"/>
      <c r="H38" s="41"/>
    </row>
    <row r="39" spans="1:8" ht="15.75" customHeight="1" x14ac:dyDescent="0.7">
      <c r="A39" s="43" t="str">
        <f>HYPERLINK("https://bluetooth.atlassian.net/browse/ES-20409","20409")</f>
        <v>20409</v>
      </c>
      <c r="B39" s="44" t="s">
        <v>836</v>
      </c>
      <c r="C39" s="44" t="s">
        <v>840</v>
      </c>
      <c r="D39" s="44" t="s">
        <v>304</v>
      </c>
      <c r="E39" s="45" t="s">
        <v>2</v>
      </c>
      <c r="F39" s="44"/>
      <c r="G39" s="49"/>
      <c r="H39" s="44"/>
    </row>
    <row r="40" spans="1:8" ht="15.75" customHeight="1" x14ac:dyDescent="0.7">
      <c r="A40" s="40" t="str">
        <f>HYPERLINK("https://bluetooth.atlassian.net/browse/ES-20389","20389")</f>
        <v>20389</v>
      </c>
      <c r="B40" s="41" t="s">
        <v>836</v>
      </c>
      <c r="C40" s="41" t="s">
        <v>841</v>
      </c>
      <c r="D40" s="41" t="s">
        <v>304</v>
      </c>
      <c r="E40" s="42" t="s">
        <v>2</v>
      </c>
      <c r="F40" s="41"/>
      <c r="G40" s="46"/>
      <c r="H40" s="41"/>
    </row>
    <row r="41" spans="1:8" ht="15.75" customHeight="1" x14ac:dyDescent="0.7">
      <c r="A41" s="43" t="str">
        <f>HYPERLINK("https://bluetooth.atlassian.net/browse/ES-17028","17028")</f>
        <v>17028</v>
      </c>
      <c r="B41" s="44" t="s">
        <v>836</v>
      </c>
      <c r="C41" s="44" t="s">
        <v>842</v>
      </c>
      <c r="D41" s="44" t="s">
        <v>304</v>
      </c>
      <c r="E41" s="45" t="s">
        <v>2</v>
      </c>
      <c r="F41" s="44"/>
      <c r="G41" s="49"/>
      <c r="H41" s="44"/>
    </row>
    <row r="42" spans="1:8" ht="15.75" customHeight="1" x14ac:dyDescent="0.7">
      <c r="A42" s="40" t="str">
        <f>HYPERLINK("https://bluetooth.atlassian.net/browse/ES-19098","19098")</f>
        <v>19098</v>
      </c>
      <c r="B42" s="41" t="s">
        <v>843</v>
      </c>
      <c r="C42" s="41" t="s">
        <v>844</v>
      </c>
      <c r="D42" s="41" t="s">
        <v>304</v>
      </c>
      <c r="E42" s="42" t="s">
        <v>2</v>
      </c>
      <c r="F42" s="41"/>
      <c r="G42" s="46"/>
      <c r="H42" s="41"/>
    </row>
    <row r="43" spans="1:8" ht="15.75" customHeight="1" x14ac:dyDescent="0.7">
      <c r="A43" s="43" t="str">
        <f>HYPERLINK("https://bluetooth.atlassian.net/browse/ES-19066","19066")</f>
        <v>19066</v>
      </c>
      <c r="B43" s="44" t="s">
        <v>843</v>
      </c>
      <c r="C43" s="44" t="s">
        <v>845</v>
      </c>
      <c r="D43" s="44" t="s">
        <v>304</v>
      </c>
      <c r="E43" s="45" t="s">
        <v>2</v>
      </c>
      <c r="F43" s="44"/>
      <c r="G43" s="49"/>
      <c r="H43" s="44"/>
    </row>
    <row r="44" spans="1:8" ht="15.75" customHeight="1" x14ac:dyDescent="0.7">
      <c r="A44" s="40" t="str">
        <f>HYPERLINK("https://bluetooth.atlassian.net/browse/ES-19063","19063")</f>
        <v>19063</v>
      </c>
      <c r="B44" s="41" t="s">
        <v>843</v>
      </c>
      <c r="C44" s="41" t="s">
        <v>846</v>
      </c>
      <c r="D44" s="41" t="s">
        <v>304</v>
      </c>
      <c r="E44" s="42" t="s">
        <v>2</v>
      </c>
      <c r="F44" s="41"/>
      <c r="G44" s="46"/>
      <c r="H44" s="41"/>
    </row>
    <row r="45" spans="1:8" ht="15.75" customHeight="1" x14ac:dyDescent="0.7">
      <c r="A45" s="43" t="str">
        <f>HYPERLINK("https://bluetooth.atlassian.net/browse/ES-19038","19038")</f>
        <v>19038</v>
      </c>
      <c r="B45" s="44" t="s">
        <v>843</v>
      </c>
      <c r="C45" s="44" t="s">
        <v>847</v>
      </c>
      <c r="D45" s="44" t="s">
        <v>304</v>
      </c>
      <c r="E45" s="45" t="s">
        <v>2</v>
      </c>
      <c r="F45" s="44"/>
      <c r="G45" s="49"/>
      <c r="H45" s="44"/>
    </row>
    <row r="46" spans="1:8" ht="15.75" customHeight="1" x14ac:dyDescent="0.7">
      <c r="A46" s="40" t="str">
        <f>HYPERLINK("https://bluetooth.atlassian.net/browse/ES-19009","19009")</f>
        <v>19009</v>
      </c>
      <c r="B46" s="41" t="s">
        <v>843</v>
      </c>
      <c r="C46" s="41" t="s">
        <v>848</v>
      </c>
      <c r="D46" s="41" t="s">
        <v>304</v>
      </c>
      <c r="E46" s="42" t="s">
        <v>2</v>
      </c>
      <c r="F46" s="41"/>
      <c r="G46" s="46"/>
      <c r="H46" s="41"/>
    </row>
    <row r="47" spans="1:8" ht="15.75" customHeight="1" x14ac:dyDescent="0.7">
      <c r="A47" s="43" t="str">
        <f>HYPERLINK("https://bluetooth.atlassian.net/browse/ES-18905","18905")</f>
        <v>18905</v>
      </c>
      <c r="B47" s="44" t="s">
        <v>843</v>
      </c>
      <c r="C47" s="44" t="s">
        <v>849</v>
      </c>
      <c r="D47" s="44" t="s">
        <v>304</v>
      </c>
      <c r="E47" s="45" t="s">
        <v>2</v>
      </c>
      <c r="F47" s="44"/>
      <c r="G47" s="49"/>
      <c r="H47" s="44"/>
    </row>
    <row r="48" spans="1:8" ht="15.75" customHeight="1" x14ac:dyDescent="0.7">
      <c r="A48" s="40" t="str">
        <f>HYPERLINK("https://bluetooth.atlassian.net/browse/ES-18608","18608")</f>
        <v>18608</v>
      </c>
      <c r="B48" s="41" t="s">
        <v>843</v>
      </c>
      <c r="C48" s="41" t="s">
        <v>850</v>
      </c>
      <c r="D48" s="41" t="s">
        <v>304</v>
      </c>
      <c r="E48" s="42" t="s">
        <v>2</v>
      </c>
      <c r="F48" s="41"/>
      <c r="G48" s="46"/>
      <c r="H48" s="41"/>
    </row>
    <row r="49" spans="1:8" ht="15.75" customHeight="1" x14ac:dyDescent="0.7">
      <c r="A49" s="43" t="str">
        <f>HYPERLINK("https://bluetooth.atlassian.net/browse/ES-18378","18378")</f>
        <v>18378</v>
      </c>
      <c r="B49" s="44" t="s">
        <v>843</v>
      </c>
      <c r="C49" s="44" t="s">
        <v>33</v>
      </c>
      <c r="D49" s="44" t="s">
        <v>304</v>
      </c>
      <c r="E49" s="45" t="s">
        <v>2</v>
      </c>
      <c r="F49" s="44"/>
      <c r="G49" s="49"/>
      <c r="H49" s="44"/>
    </row>
    <row r="50" spans="1:8" ht="15.75" customHeight="1" x14ac:dyDescent="0.7">
      <c r="A50" s="40" t="str">
        <f>HYPERLINK("https://bluetooth.atlassian.net/browse/ES-18344","18344")</f>
        <v>18344</v>
      </c>
      <c r="B50" s="41" t="s">
        <v>843</v>
      </c>
      <c r="C50" s="41" t="s">
        <v>851</v>
      </c>
      <c r="D50" s="41" t="s">
        <v>304</v>
      </c>
      <c r="E50" s="42" t="s">
        <v>2</v>
      </c>
      <c r="F50" s="41"/>
      <c r="G50" s="46"/>
      <c r="H50" s="41"/>
    </row>
    <row r="51" spans="1:8" ht="15.75" customHeight="1" x14ac:dyDescent="0.7">
      <c r="A51" s="43" t="str">
        <f>HYPERLINK("https://bluetooth.atlassian.net/browse/ES-18343","18343")</f>
        <v>18343</v>
      </c>
      <c r="B51" s="44" t="s">
        <v>843</v>
      </c>
      <c r="C51" s="44" t="s">
        <v>852</v>
      </c>
      <c r="D51" s="44" t="s">
        <v>304</v>
      </c>
      <c r="E51" s="45" t="s">
        <v>2</v>
      </c>
      <c r="F51" s="44"/>
      <c r="G51" s="49"/>
      <c r="H51" s="44"/>
    </row>
    <row r="52" spans="1:8" ht="15.75" customHeight="1" x14ac:dyDescent="0.7">
      <c r="A52" s="40" t="str">
        <f>HYPERLINK("https://bluetooth.atlassian.net/browse/ES-18331","18331")</f>
        <v>18331</v>
      </c>
      <c r="B52" s="41" t="s">
        <v>843</v>
      </c>
      <c r="C52" s="41" t="s">
        <v>853</v>
      </c>
      <c r="D52" s="41" t="s">
        <v>304</v>
      </c>
      <c r="E52" s="42" t="s">
        <v>2</v>
      </c>
      <c r="F52" s="41"/>
      <c r="G52" s="46"/>
      <c r="H52" s="41"/>
    </row>
    <row r="53" spans="1:8" ht="15.75" customHeight="1" x14ac:dyDescent="0.7">
      <c r="A53" s="43" t="str">
        <f>HYPERLINK("https://bluetooth.atlassian.net/browse/ES-18302","18302")</f>
        <v>18302</v>
      </c>
      <c r="B53" s="44" t="s">
        <v>843</v>
      </c>
      <c r="C53" s="44" t="s">
        <v>854</v>
      </c>
      <c r="D53" s="44" t="s">
        <v>304</v>
      </c>
      <c r="E53" s="45" t="s">
        <v>2</v>
      </c>
      <c r="F53" s="44"/>
      <c r="G53" s="49"/>
      <c r="H53" s="44"/>
    </row>
    <row r="54" spans="1:8" ht="15.75" customHeight="1" x14ac:dyDescent="0.7">
      <c r="A54" s="40" t="str">
        <f>HYPERLINK("https://bluetooth.atlassian.net/browse/ES-18230","18230")</f>
        <v>18230</v>
      </c>
      <c r="B54" s="41" t="s">
        <v>843</v>
      </c>
      <c r="C54" s="41" t="s">
        <v>855</v>
      </c>
      <c r="D54" s="41" t="s">
        <v>304</v>
      </c>
      <c r="E54" s="42" t="s">
        <v>2</v>
      </c>
      <c r="F54" s="41"/>
      <c r="G54" s="46"/>
      <c r="H54" s="41"/>
    </row>
    <row r="55" spans="1:8" ht="15.75" customHeight="1" x14ac:dyDescent="0.7">
      <c r="A55" s="43" t="str">
        <f>HYPERLINK("https://bluetooth.atlassian.net/browse/ES-18229","18229")</f>
        <v>18229</v>
      </c>
      <c r="B55" s="44" t="s">
        <v>843</v>
      </c>
      <c r="C55" s="44" t="s">
        <v>856</v>
      </c>
      <c r="D55" s="44" t="s">
        <v>304</v>
      </c>
      <c r="E55" s="45" t="s">
        <v>2</v>
      </c>
      <c r="F55" s="44"/>
      <c r="G55" s="49"/>
      <c r="H55" s="44"/>
    </row>
    <row r="56" spans="1:8" ht="15.75" customHeight="1" x14ac:dyDescent="0.7">
      <c r="A56" s="40" t="str">
        <f>HYPERLINK("https://bluetooth.atlassian.net/browse/ES-18194","18194")</f>
        <v>18194</v>
      </c>
      <c r="B56" s="41" t="s">
        <v>843</v>
      </c>
      <c r="C56" s="41" t="s">
        <v>857</v>
      </c>
      <c r="D56" s="41" t="s">
        <v>304</v>
      </c>
      <c r="E56" s="42" t="s">
        <v>2</v>
      </c>
      <c r="F56" s="41"/>
      <c r="G56" s="46"/>
      <c r="H56" s="41"/>
    </row>
    <row r="57" spans="1:8" ht="15.75" customHeight="1" x14ac:dyDescent="0.7">
      <c r="A57" s="43" t="str">
        <f>HYPERLINK("https://bluetooth.atlassian.net/browse/ES-18068","18068")</f>
        <v>18068</v>
      </c>
      <c r="B57" s="44" t="s">
        <v>843</v>
      </c>
      <c r="C57" s="44" t="s">
        <v>858</v>
      </c>
      <c r="D57" s="44" t="s">
        <v>304</v>
      </c>
      <c r="E57" s="45" t="s">
        <v>2</v>
      </c>
      <c r="F57" s="44"/>
      <c r="G57" s="49"/>
      <c r="H57" s="44"/>
    </row>
    <row r="58" spans="1:8" ht="15.75" customHeight="1" x14ac:dyDescent="0.7">
      <c r="A58" s="40" t="str">
        <f>HYPERLINK("https://bluetooth.atlassian.net/browse/ES-18023","18023")</f>
        <v>18023</v>
      </c>
      <c r="B58" s="41" t="s">
        <v>843</v>
      </c>
      <c r="C58" s="41" t="s">
        <v>859</v>
      </c>
      <c r="D58" s="41" t="s">
        <v>304</v>
      </c>
      <c r="E58" s="42" t="s">
        <v>2</v>
      </c>
      <c r="F58" s="41"/>
      <c r="G58" s="46"/>
      <c r="H58" s="41"/>
    </row>
    <row r="59" spans="1:8" ht="15.75" customHeight="1" x14ac:dyDescent="0.7">
      <c r="A59" s="43" t="str">
        <f>HYPERLINK("https://bluetooth.atlassian.net/browse/ES-17993","17993")</f>
        <v>17993</v>
      </c>
      <c r="B59" s="44" t="s">
        <v>843</v>
      </c>
      <c r="C59" s="44" t="s">
        <v>860</v>
      </c>
      <c r="D59" s="44" t="s">
        <v>304</v>
      </c>
      <c r="E59" s="45" t="s">
        <v>2</v>
      </c>
      <c r="F59" s="44"/>
      <c r="G59" s="49"/>
      <c r="H59" s="44"/>
    </row>
    <row r="60" spans="1:8" ht="15.75" customHeight="1" x14ac:dyDescent="0.7">
      <c r="A60" s="40" t="str">
        <f>HYPERLINK("https://bluetooth.atlassian.net/browse/ES-17991","17991")</f>
        <v>17991</v>
      </c>
      <c r="B60" s="41" t="s">
        <v>843</v>
      </c>
      <c r="C60" s="41" t="s">
        <v>861</v>
      </c>
      <c r="D60" s="41" t="s">
        <v>304</v>
      </c>
      <c r="E60" s="42" t="s">
        <v>2</v>
      </c>
      <c r="F60" s="41"/>
      <c r="G60" s="46"/>
      <c r="H60" s="41"/>
    </row>
    <row r="61" spans="1:8" ht="15.75" customHeight="1" x14ac:dyDescent="0.7">
      <c r="A61" s="43" t="str">
        <f>HYPERLINK("https://bluetooth.atlassian.net/browse/ES-17947","17947")</f>
        <v>17947</v>
      </c>
      <c r="B61" s="44" t="s">
        <v>843</v>
      </c>
      <c r="C61" s="44" t="s">
        <v>862</v>
      </c>
      <c r="D61" s="44" t="s">
        <v>304</v>
      </c>
      <c r="E61" s="45" t="s">
        <v>2</v>
      </c>
      <c r="F61" s="44"/>
      <c r="G61" s="49"/>
      <c r="H61" s="44"/>
    </row>
    <row r="62" spans="1:8" ht="15.75" customHeight="1" x14ac:dyDescent="0.7">
      <c r="A62" s="40" t="str">
        <f>HYPERLINK("https://bluetooth.atlassian.net/browse/ES-17746","17746")</f>
        <v>17746</v>
      </c>
      <c r="B62" s="41" t="s">
        <v>843</v>
      </c>
      <c r="C62" s="41" t="s">
        <v>571</v>
      </c>
      <c r="D62" s="41" t="s">
        <v>304</v>
      </c>
      <c r="E62" s="42" t="s">
        <v>2</v>
      </c>
      <c r="F62" s="41"/>
      <c r="G62" s="46"/>
      <c r="H62" s="41"/>
    </row>
    <row r="63" spans="1:8" ht="15.75" customHeight="1" x14ac:dyDescent="0.7">
      <c r="A63" s="43" t="str">
        <f>HYPERLINK("https://bluetooth.atlassian.net/browse/ES-17709","17709")</f>
        <v>17709</v>
      </c>
      <c r="B63" s="44" t="s">
        <v>843</v>
      </c>
      <c r="C63" s="44" t="s">
        <v>863</v>
      </c>
      <c r="D63" s="44" t="s">
        <v>304</v>
      </c>
      <c r="E63" s="45" t="s">
        <v>2</v>
      </c>
      <c r="F63" s="44"/>
      <c r="G63" s="49"/>
      <c r="H63" s="44"/>
    </row>
    <row r="64" spans="1:8" ht="15.75" customHeight="1" x14ac:dyDescent="0.7">
      <c r="A64" s="40" t="str">
        <f>HYPERLINK("https://bluetooth.atlassian.net/browse/ES-17708","17708")</f>
        <v>17708</v>
      </c>
      <c r="B64" s="41" t="s">
        <v>843</v>
      </c>
      <c r="C64" s="41" t="s">
        <v>864</v>
      </c>
      <c r="D64" s="41" t="s">
        <v>304</v>
      </c>
      <c r="E64" s="42" t="s">
        <v>2</v>
      </c>
      <c r="F64" s="41"/>
      <c r="G64" s="46"/>
      <c r="H64" s="41"/>
    </row>
    <row r="65" spans="1:8" ht="15.75" customHeight="1" x14ac:dyDescent="0.7">
      <c r="A65" s="43" t="str">
        <f>HYPERLINK("https://bluetooth.atlassian.net/browse/ES-17698","17698")</f>
        <v>17698</v>
      </c>
      <c r="B65" s="44" t="s">
        <v>843</v>
      </c>
      <c r="C65" s="44" t="s">
        <v>865</v>
      </c>
      <c r="D65" s="44" t="s">
        <v>304</v>
      </c>
      <c r="E65" s="45" t="s">
        <v>2</v>
      </c>
      <c r="F65" s="44"/>
      <c r="G65" s="49"/>
      <c r="H65" s="44"/>
    </row>
    <row r="66" spans="1:8" ht="15.75" customHeight="1" x14ac:dyDescent="0.7">
      <c r="A66" s="40" t="str">
        <f>HYPERLINK("https://bluetooth.atlassian.net/browse/ES-17578","17578")</f>
        <v>17578</v>
      </c>
      <c r="B66" s="41" t="s">
        <v>843</v>
      </c>
      <c r="C66" s="41" t="s">
        <v>866</v>
      </c>
      <c r="D66" s="41" t="s">
        <v>304</v>
      </c>
      <c r="E66" s="42" t="s">
        <v>2</v>
      </c>
      <c r="F66" s="41"/>
      <c r="G66" s="46"/>
      <c r="H66" s="41"/>
    </row>
    <row r="67" spans="1:8" ht="15.75" customHeight="1" x14ac:dyDescent="0.7">
      <c r="A67" s="43" t="str">
        <f>HYPERLINK("https://bluetooth.atlassian.net/browse/ES-17577","17577")</f>
        <v>17577</v>
      </c>
      <c r="B67" s="44" t="s">
        <v>843</v>
      </c>
      <c r="C67" s="44" t="s">
        <v>867</v>
      </c>
      <c r="D67" s="44" t="s">
        <v>304</v>
      </c>
      <c r="E67" s="45" t="s">
        <v>2</v>
      </c>
      <c r="F67" s="44"/>
      <c r="G67" s="49"/>
      <c r="H67" s="44"/>
    </row>
    <row r="68" spans="1:8" ht="15.75" customHeight="1" x14ac:dyDescent="0.7">
      <c r="A68" s="40" t="str">
        <f>HYPERLINK("https://bluetooth.atlassian.net/browse/ES-17576","17576")</f>
        <v>17576</v>
      </c>
      <c r="B68" s="41" t="s">
        <v>843</v>
      </c>
      <c r="C68" s="41" t="s">
        <v>868</v>
      </c>
      <c r="D68" s="41" t="s">
        <v>304</v>
      </c>
      <c r="E68" s="42" t="s">
        <v>2</v>
      </c>
      <c r="F68" s="41"/>
      <c r="G68" s="46"/>
      <c r="H68" s="41"/>
    </row>
    <row r="69" spans="1:8" ht="15.75" customHeight="1" x14ac:dyDescent="0.7">
      <c r="A69" s="43" t="str">
        <f>HYPERLINK("https://bluetooth.atlassian.net/browse/ES-17575","17575")</f>
        <v>17575</v>
      </c>
      <c r="B69" s="44" t="s">
        <v>843</v>
      </c>
      <c r="C69" s="44" t="s">
        <v>869</v>
      </c>
      <c r="D69" s="44" t="s">
        <v>304</v>
      </c>
      <c r="E69" s="45" t="s">
        <v>2</v>
      </c>
      <c r="F69" s="44"/>
      <c r="G69" s="49"/>
      <c r="H69" s="44"/>
    </row>
    <row r="70" spans="1:8" ht="15.75" customHeight="1" x14ac:dyDescent="0.7">
      <c r="A70" s="40" t="str">
        <f>HYPERLINK("https://bluetooth.atlassian.net/browse/ES-17574","17574")</f>
        <v>17574</v>
      </c>
      <c r="B70" s="41" t="s">
        <v>843</v>
      </c>
      <c r="C70" s="41" t="s">
        <v>870</v>
      </c>
      <c r="D70" s="41" t="s">
        <v>304</v>
      </c>
      <c r="E70" s="42" t="s">
        <v>2</v>
      </c>
      <c r="F70" s="41"/>
      <c r="G70" s="46"/>
      <c r="H70" s="41"/>
    </row>
    <row r="71" spans="1:8" ht="15.75" customHeight="1" x14ac:dyDescent="0.7">
      <c r="A71" s="43" t="str">
        <f>HYPERLINK("https://bluetooth.atlassian.net/browse/ES-17573","17573")</f>
        <v>17573</v>
      </c>
      <c r="B71" s="44" t="s">
        <v>843</v>
      </c>
      <c r="C71" s="44" t="s">
        <v>871</v>
      </c>
      <c r="D71" s="44" t="s">
        <v>304</v>
      </c>
      <c r="E71" s="45" t="s">
        <v>2</v>
      </c>
      <c r="F71" s="44"/>
      <c r="G71" s="49"/>
      <c r="H71" s="44"/>
    </row>
    <row r="72" spans="1:8" ht="15.75" customHeight="1" x14ac:dyDescent="0.7">
      <c r="A72" s="40" t="str">
        <f>HYPERLINK("https://bluetooth.atlassian.net/browse/ES-17572","17572")</f>
        <v>17572</v>
      </c>
      <c r="B72" s="41" t="s">
        <v>843</v>
      </c>
      <c r="C72" s="41" t="s">
        <v>872</v>
      </c>
      <c r="D72" s="41" t="s">
        <v>304</v>
      </c>
      <c r="E72" s="42" t="s">
        <v>2</v>
      </c>
      <c r="F72" s="41"/>
      <c r="G72" s="46"/>
      <c r="H72" s="41"/>
    </row>
    <row r="73" spans="1:8" ht="15.75" customHeight="1" x14ac:dyDescent="0.7">
      <c r="A73" s="43" t="str">
        <f>HYPERLINK("https://bluetooth.atlassian.net/browse/ES-17571","17571")</f>
        <v>17571</v>
      </c>
      <c r="B73" s="44" t="s">
        <v>843</v>
      </c>
      <c r="C73" s="44" t="s">
        <v>873</v>
      </c>
      <c r="D73" s="44" t="s">
        <v>304</v>
      </c>
      <c r="E73" s="45" t="s">
        <v>2</v>
      </c>
      <c r="F73" s="44"/>
      <c r="G73" s="49"/>
      <c r="H73" s="44"/>
    </row>
    <row r="74" spans="1:8" ht="15.75" customHeight="1" x14ac:dyDescent="0.7">
      <c r="A74" s="40" t="str">
        <f>HYPERLINK("https://bluetooth.atlassian.net/browse/ES-17569","17569")</f>
        <v>17569</v>
      </c>
      <c r="B74" s="41" t="s">
        <v>843</v>
      </c>
      <c r="C74" s="41" t="s">
        <v>874</v>
      </c>
      <c r="D74" s="41" t="s">
        <v>304</v>
      </c>
      <c r="E74" s="42" t="s">
        <v>2</v>
      </c>
      <c r="F74" s="41"/>
      <c r="G74" s="46"/>
      <c r="H74" s="41"/>
    </row>
    <row r="75" spans="1:8" ht="15.75" customHeight="1" x14ac:dyDescent="0.7">
      <c r="A75" s="43" t="str">
        <f>HYPERLINK("https://bluetooth.atlassian.net/browse/ES-17568","17568")</f>
        <v>17568</v>
      </c>
      <c r="B75" s="44" t="s">
        <v>843</v>
      </c>
      <c r="C75" s="44" t="s">
        <v>875</v>
      </c>
      <c r="D75" s="44" t="s">
        <v>304</v>
      </c>
      <c r="E75" s="45" t="s">
        <v>2</v>
      </c>
      <c r="F75" s="44"/>
      <c r="G75" s="49"/>
      <c r="H75" s="44"/>
    </row>
    <row r="76" spans="1:8" ht="15.75" customHeight="1" x14ac:dyDescent="0.7">
      <c r="A76" s="40" t="str">
        <f>HYPERLINK("https://bluetooth.atlassian.net/browse/ES-17567","17567")</f>
        <v>17567</v>
      </c>
      <c r="B76" s="41" t="s">
        <v>843</v>
      </c>
      <c r="C76" s="41" t="s">
        <v>876</v>
      </c>
      <c r="D76" s="41" t="s">
        <v>304</v>
      </c>
      <c r="E76" s="42" t="s">
        <v>2</v>
      </c>
      <c r="F76" s="41"/>
      <c r="G76" s="46"/>
      <c r="H76" s="41"/>
    </row>
    <row r="77" spans="1:8" ht="15.75" customHeight="1" x14ac:dyDescent="0.7">
      <c r="A77" s="43" t="str">
        <f>HYPERLINK("https://bluetooth.atlassian.net/browse/ES-17566","17566")</f>
        <v>17566</v>
      </c>
      <c r="B77" s="44" t="s">
        <v>843</v>
      </c>
      <c r="C77" s="44" t="s">
        <v>877</v>
      </c>
      <c r="D77" s="44" t="s">
        <v>304</v>
      </c>
      <c r="E77" s="45" t="s">
        <v>2</v>
      </c>
      <c r="F77" s="44"/>
      <c r="G77" s="49"/>
      <c r="H77" s="44"/>
    </row>
    <row r="78" spans="1:8" ht="15.75" customHeight="1" x14ac:dyDescent="0.7">
      <c r="A78" s="40" t="str">
        <f>HYPERLINK("https://bluetooth.atlassian.net/browse/ES-17565","17565")</f>
        <v>17565</v>
      </c>
      <c r="B78" s="41" t="s">
        <v>843</v>
      </c>
      <c r="C78" s="41" t="s">
        <v>878</v>
      </c>
      <c r="D78" s="41" t="s">
        <v>304</v>
      </c>
      <c r="E78" s="42" t="s">
        <v>2</v>
      </c>
      <c r="F78" s="41"/>
      <c r="G78" s="46"/>
      <c r="H78" s="41"/>
    </row>
    <row r="79" spans="1:8" ht="15.75" customHeight="1" x14ac:dyDescent="0.7">
      <c r="A79" s="43" t="str">
        <f>HYPERLINK("https://bluetooth.atlassian.net/browse/ES-17529","17529")</f>
        <v>17529</v>
      </c>
      <c r="B79" s="44" t="s">
        <v>843</v>
      </c>
      <c r="C79" s="44" t="s">
        <v>879</v>
      </c>
      <c r="D79" s="44" t="s">
        <v>304</v>
      </c>
      <c r="E79" s="45" t="s">
        <v>2</v>
      </c>
      <c r="F79" s="44"/>
      <c r="G79" s="49"/>
      <c r="H79" s="44"/>
    </row>
    <row r="80" spans="1:8" ht="15.75" customHeight="1" x14ac:dyDescent="0.7">
      <c r="A80" s="40">
        <v>17489</v>
      </c>
      <c r="B80" s="41" t="s">
        <v>843</v>
      </c>
      <c r="C80" s="41" t="s">
        <v>880</v>
      </c>
      <c r="D80" s="41" t="s">
        <v>304</v>
      </c>
      <c r="E80" s="42" t="s">
        <v>1</v>
      </c>
      <c r="F80" s="41">
        <v>2</v>
      </c>
      <c r="G80" s="52" t="str">
        <f>HYPERLINK("https://bluetooth.atlassian.net/browse/ES-17488","17488")</f>
        <v>17488</v>
      </c>
      <c r="H80" s="41" t="s">
        <v>881</v>
      </c>
    </row>
    <row r="81" spans="1:8" ht="15.75" customHeight="1" x14ac:dyDescent="0.7">
      <c r="A81" s="43" t="str">
        <f>HYPERLINK("https://bluetooth.atlassian.net/browse/ES-17412","17412")</f>
        <v>17412</v>
      </c>
      <c r="B81" s="44" t="s">
        <v>843</v>
      </c>
      <c r="C81" s="44" t="s">
        <v>882</v>
      </c>
      <c r="D81" s="44" t="s">
        <v>304</v>
      </c>
      <c r="E81" s="45" t="s">
        <v>2</v>
      </c>
      <c r="F81" s="44"/>
      <c r="G81" s="49"/>
      <c r="H81" s="44"/>
    </row>
    <row r="82" spans="1:8" ht="15.75" customHeight="1" x14ac:dyDescent="0.7">
      <c r="A82" s="40" t="str">
        <f>HYPERLINK("https://bluetooth.atlassian.net/browse/ES-17398","17398")</f>
        <v>17398</v>
      </c>
      <c r="B82" s="41" t="s">
        <v>843</v>
      </c>
      <c r="C82" s="41" t="s">
        <v>883</v>
      </c>
      <c r="D82" s="41" t="s">
        <v>304</v>
      </c>
      <c r="E82" s="42" t="s">
        <v>2</v>
      </c>
      <c r="F82" s="41"/>
      <c r="G82" s="46"/>
      <c r="H82" s="41"/>
    </row>
    <row r="83" spans="1:8" ht="15.75" customHeight="1" x14ac:dyDescent="0.7">
      <c r="A83" s="43" t="str">
        <f>HYPERLINK("https://bluetooth.atlassian.net/browse/ES-17391","17391")</f>
        <v>17391</v>
      </c>
      <c r="B83" s="44" t="s">
        <v>843</v>
      </c>
      <c r="C83" s="44" t="s">
        <v>884</v>
      </c>
      <c r="D83" s="44" t="s">
        <v>304</v>
      </c>
      <c r="E83" s="45" t="s">
        <v>2</v>
      </c>
      <c r="F83" s="44"/>
      <c r="G83" s="49"/>
      <c r="H83" s="44"/>
    </row>
    <row r="84" spans="1:8" ht="15.75" customHeight="1" x14ac:dyDescent="0.7">
      <c r="A84" s="40" t="str">
        <f>HYPERLINK("https://bluetooth.atlassian.net/browse/ES-17366","17366")</f>
        <v>17366</v>
      </c>
      <c r="B84" s="41" t="s">
        <v>843</v>
      </c>
      <c r="C84" s="41" t="s">
        <v>130</v>
      </c>
      <c r="D84" s="41" t="s">
        <v>304</v>
      </c>
      <c r="E84" s="42" t="s">
        <v>2</v>
      </c>
      <c r="F84" s="41"/>
      <c r="G84" s="46"/>
      <c r="H84" s="41"/>
    </row>
    <row r="85" spans="1:8" ht="15.75" customHeight="1" x14ac:dyDescent="0.7">
      <c r="A85" s="43" t="str">
        <f>HYPERLINK("https://bluetooth.atlassian.net/browse/ES-17358","17358")</f>
        <v>17358</v>
      </c>
      <c r="B85" s="44" t="s">
        <v>843</v>
      </c>
      <c r="C85" s="44" t="s">
        <v>319</v>
      </c>
      <c r="D85" s="44" t="s">
        <v>304</v>
      </c>
      <c r="E85" s="45" t="s">
        <v>2</v>
      </c>
      <c r="F85" s="44"/>
      <c r="G85" s="49"/>
      <c r="H85" s="44"/>
    </row>
    <row r="86" spans="1:8" ht="15.75" customHeight="1" x14ac:dyDescent="0.7">
      <c r="A86" s="40" t="str">
        <f>HYPERLINK("https://bluetooth.atlassian.net/browse/ES-17339","17339")</f>
        <v>17339</v>
      </c>
      <c r="B86" s="41" t="s">
        <v>843</v>
      </c>
      <c r="C86" s="41" t="s">
        <v>885</v>
      </c>
      <c r="D86" s="41" t="s">
        <v>304</v>
      </c>
      <c r="E86" s="42" t="s">
        <v>2</v>
      </c>
      <c r="F86" s="41"/>
      <c r="G86" s="46"/>
      <c r="H86" s="41"/>
    </row>
    <row r="87" spans="1:8" ht="15.75" customHeight="1" x14ac:dyDescent="0.7">
      <c r="A87" s="43" t="str">
        <f>HYPERLINK("https://bluetooth.atlassian.net/browse/ES-17232","17232")</f>
        <v>17232</v>
      </c>
      <c r="B87" s="44" t="s">
        <v>843</v>
      </c>
      <c r="C87" s="44" t="s">
        <v>886</v>
      </c>
      <c r="D87" s="44" t="s">
        <v>304</v>
      </c>
      <c r="E87" s="45" t="s">
        <v>2</v>
      </c>
      <c r="F87" s="44"/>
      <c r="G87" s="49"/>
      <c r="H87" s="44"/>
    </row>
    <row r="88" spans="1:8" ht="15.75" customHeight="1" x14ac:dyDescent="0.7">
      <c r="A88" s="40" t="str">
        <f>HYPERLINK("https://bluetooth.atlassian.net/browse/ES-17231","17231")</f>
        <v>17231</v>
      </c>
      <c r="B88" s="41" t="s">
        <v>843</v>
      </c>
      <c r="C88" s="41" t="s">
        <v>887</v>
      </c>
      <c r="D88" s="41" t="s">
        <v>304</v>
      </c>
      <c r="E88" s="42" t="s">
        <v>2</v>
      </c>
      <c r="F88" s="41"/>
      <c r="G88" s="46"/>
      <c r="H88" s="41"/>
    </row>
    <row r="89" spans="1:8" ht="15.75" customHeight="1" x14ac:dyDescent="0.7">
      <c r="A89" s="43" t="str">
        <f>HYPERLINK("https://bluetooth.atlassian.net/browse/ES-17089","17089")</f>
        <v>17089</v>
      </c>
      <c r="B89" s="44" t="s">
        <v>843</v>
      </c>
      <c r="C89" s="44" t="s">
        <v>888</v>
      </c>
      <c r="D89" s="44" t="s">
        <v>304</v>
      </c>
      <c r="E89" s="45" t="s">
        <v>2</v>
      </c>
      <c r="F89" s="44"/>
      <c r="G89" s="49"/>
      <c r="H89" s="44"/>
    </row>
    <row r="90" spans="1:8" ht="15.75" customHeight="1" x14ac:dyDescent="0.7">
      <c r="A90" s="40" t="str">
        <f>HYPERLINK("https://bluetooth.atlassian.net/browse/ES-17085","17085")</f>
        <v>17085</v>
      </c>
      <c r="B90" s="41" t="s">
        <v>843</v>
      </c>
      <c r="C90" s="41" t="s">
        <v>889</v>
      </c>
      <c r="D90" s="41" t="s">
        <v>304</v>
      </c>
      <c r="E90" s="42" t="s">
        <v>2</v>
      </c>
      <c r="F90" s="41"/>
      <c r="G90" s="46"/>
      <c r="H90" s="41"/>
    </row>
    <row r="91" spans="1:8" ht="15.75" customHeight="1" x14ac:dyDescent="0.7">
      <c r="A91" s="43" t="str">
        <f>HYPERLINK("https://bluetooth.atlassian.net/browse/ES-17083","17083")</f>
        <v>17083</v>
      </c>
      <c r="B91" s="44" t="s">
        <v>843</v>
      </c>
      <c r="C91" s="44" t="s">
        <v>890</v>
      </c>
      <c r="D91" s="44" t="s">
        <v>304</v>
      </c>
      <c r="E91" s="45" t="s">
        <v>2</v>
      </c>
      <c r="F91" s="44"/>
      <c r="G91" s="49"/>
      <c r="H91" s="44"/>
    </row>
    <row r="92" spans="1:8" ht="15.75" customHeight="1" x14ac:dyDescent="0.7">
      <c r="A92" s="40" t="str">
        <f>HYPERLINK("https://bluetooth.atlassian.net/browse/ES-17063","17063")</f>
        <v>17063</v>
      </c>
      <c r="B92" s="41" t="s">
        <v>843</v>
      </c>
      <c r="C92" s="41" t="s">
        <v>891</v>
      </c>
      <c r="D92" s="41" t="s">
        <v>304</v>
      </c>
      <c r="E92" s="42" t="s">
        <v>2</v>
      </c>
      <c r="F92" s="41"/>
      <c r="G92" s="46"/>
      <c r="H92" s="41"/>
    </row>
    <row r="93" spans="1:8" ht="15.75" customHeight="1" x14ac:dyDescent="0.7">
      <c r="A93" s="43" t="str">
        <f>HYPERLINK("https://bluetooth.atlassian.net/browse/ES-17062","17062")</f>
        <v>17062</v>
      </c>
      <c r="B93" s="44" t="s">
        <v>843</v>
      </c>
      <c r="C93" s="44" t="s">
        <v>892</v>
      </c>
      <c r="D93" s="44" t="s">
        <v>304</v>
      </c>
      <c r="E93" s="45" t="s">
        <v>2</v>
      </c>
      <c r="F93" s="44"/>
      <c r="G93" s="49"/>
      <c r="H93" s="44"/>
    </row>
    <row r="94" spans="1:8" ht="15.75" customHeight="1" x14ac:dyDescent="0.7">
      <c r="A94" s="40" t="str">
        <f>HYPERLINK("https://bluetooth.atlassian.net/browse/ES-17061","17061")</f>
        <v>17061</v>
      </c>
      <c r="B94" s="41" t="s">
        <v>843</v>
      </c>
      <c r="C94" s="41" t="s">
        <v>893</v>
      </c>
      <c r="D94" s="41" t="s">
        <v>304</v>
      </c>
      <c r="E94" s="42" t="s">
        <v>2</v>
      </c>
      <c r="F94" s="41"/>
      <c r="G94" s="46"/>
      <c r="H94" s="41"/>
    </row>
    <row r="95" spans="1:8" ht="15.75" customHeight="1" x14ac:dyDescent="0.7">
      <c r="A95" s="43" t="str">
        <f>HYPERLINK("https://bluetooth.atlassian.net/browse/ES-17058","17058")</f>
        <v>17058</v>
      </c>
      <c r="B95" s="44" t="s">
        <v>843</v>
      </c>
      <c r="C95" s="44" t="s">
        <v>894</v>
      </c>
      <c r="D95" s="44" t="s">
        <v>304</v>
      </c>
      <c r="E95" s="45" t="s">
        <v>2</v>
      </c>
      <c r="F95" s="44"/>
      <c r="G95" s="49"/>
      <c r="H95" s="44"/>
    </row>
    <row r="96" spans="1:8" ht="15.75" customHeight="1" x14ac:dyDescent="0.7">
      <c r="A96" s="40" t="str">
        <f>HYPERLINK("https://bluetooth.atlassian.net/browse/ES-17055","17055")</f>
        <v>17055</v>
      </c>
      <c r="B96" s="41" t="s">
        <v>843</v>
      </c>
      <c r="C96" s="41" t="s">
        <v>895</v>
      </c>
      <c r="D96" s="41" t="s">
        <v>304</v>
      </c>
      <c r="E96" s="42" t="s">
        <v>2</v>
      </c>
      <c r="F96" s="41"/>
      <c r="G96" s="46"/>
      <c r="H96" s="41"/>
    </row>
    <row r="97" spans="1:8" ht="15.75" customHeight="1" x14ac:dyDescent="0.7">
      <c r="A97" s="43" t="str">
        <f>HYPERLINK("https://bluetooth.atlassian.net/browse/ES-17052","17052")</f>
        <v>17052</v>
      </c>
      <c r="B97" s="44" t="s">
        <v>843</v>
      </c>
      <c r="C97" s="44" t="s">
        <v>896</v>
      </c>
      <c r="D97" s="44" t="s">
        <v>304</v>
      </c>
      <c r="E97" s="45" t="s">
        <v>2</v>
      </c>
      <c r="F97" s="44"/>
      <c r="G97" s="49"/>
      <c r="H97" s="44"/>
    </row>
    <row r="98" spans="1:8" ht="15.75" customHeight="1" x14ac:dyDescent="0.7">
      <c r="A98" s="40" t="str">
        <f>HYPERLINK("https://bluetooth.atlassian.net/browse/ES-17051","17051")</f>
        <v>17051</v>
      </c>
      <c r="B98" s="41" t="s">
        <v>843</v>
      </c>
      <c r="C98" s="41" t="s">
        <v>897</v>
      </c>
      <c r="D98" s="41" t="s">
        <v>304</v>
      </c>
      <c r="E98" s="42" t="s">
        <v>2</v>
      </c>
      <c r="F98" s="41"/>
      <c r="G98" s="46"/>
      <c r="H98" s="41"/>
    </row>
    <row r="99" spans="1:8" ht="15.75" customHeight="1" x14ac:dyDescent="0.7">
      <c r="A99" s="43" t="str">
        <f>HYPERLINK("https://bluetooth.atlassian.net/browse/ES-17050","17050")</f>
        <v>17050</v>
      </c>
      <c r="B99" s="44" t="s">
        <v>843</v>
      </c>
      <c r="C99" s="44" t="s">
        <v>898</v>
      </c>
      <c r="D99" s="44" t="s">
        <v>304</v>
      </c>
      <c r="E99" s="45" t="s">
        <v>2</v>
      </c>
      <c r="F99" s="44"/>
      <c r="G99" s="49"/>
      <c r="H99" s="44"/>
    </row>
    <row r="100" spans="1:8" ht="15.75" customHeight="1" x14ac:dyDescent="0.7">
      <c r="A100" s="40" t="str">
        <f>HYPERLINK("https://bluetooth.atlassian.net/browse/ES-17044","17044")</f>
        <v>17044</v>
      </c>
      <c r="B100" s="41" t="s">
        <v>843</v>
      </c>
      <c r="C100" s="41" t="s">
        <v>899</v>
      </c>
      <c r="D100" s="41" t="s">
        <v>304</v>
      </c>
      <c r="E100" s="42" t="s">
        <v>2</v>
      </c>
      <c r="F100" s="41"/>
      <c r="G100" s="46"/>
      <c r="H100" s="41"/>
    </row>
    <row r="101" spans="1:8" ht="15.75" customHeight="1" x14ac:dyDescent="0.7">
      <c r="A101" s="43" t="str">
        <f>HYPERLINK("https://bluetooth.atlassian.net/browse/ES-17043","17043")</f>
        <v>17043</v>
      </c>
      <c r="B101" s="44" t="s">
        <v>843</v>
      </c>
      <c r="C101" s="44" t="s">
        <v>900</v>
      </c>
      <c r="D101" s="44" t="s">
        <v>304</v>
      </c>
      <c r="E101" s="45" t="s">
        <v>2</v>
      </c>
      <c r="F101" s="44"/>
      <c r="G101" s="49"/>
      <c r="H101" s="44"/>
    </row>
    <row r="102" spans="1:8" ht="15.75" customHeight="1" x14ac:dyDescent="0.7">
      <c r="A102" s="40" t="str">
        <f>HYPERLINK("https://bluetooth.atlassian.net/browse/ES-17039","17039")</f>
        <v>17039</v>
      </c>
      <c r="B102" s="41" t="s">
        <v>843</v>
      </c>
      <c r="C102" s="41" t="s">
        <v>901</v>
      </c>
      <c r="D102" s="41" t="s">
        <v>304</v>
      </c>
      <c r="E102" s="42" t="s">
        <v>2</v>
      </c>
      <c r="F102" s="41"/>
      <c r="G102" s="46"/>
      <c r="H102" s="41"/>
    </row>
    <row r="103" spans="1:8" ht="15.75" customHeight="1" x14ac:dyDescent="0.7">
      <c r="A103" s="43" t="str">
        <f>HYPERLINK("https://bluetooth.atlassian.net/browse/ES-17031","17031")</f>
        <v>17031</v>
      </c>
      <c r="B103" s="44" t="s">
        <v>843</v>
      </c>
      <c r="C103" s="44" t="s">
        <v>902</v>
      </c>
      <c r="D103" s="44" t="s">
        <v>304</v>
      </c>
      <c r="E103" s="45" t="s">
        <v>2</v>
      </c>
      <c r="F103" s="44"/>
      <c r="G103" s="49"/>
      <c r="H103" s="44"/>
    </row>
    <row r="104" spans="1:8" ht="15.75" customHeight="1" x14ac:dyDescent="0.7">
      <c r="A104" s="40" t="str">
        <f>HYPERLINK("https://bluetooth.atlassian.net/browse/ES-17026","17026")</f>
        <v>17026</v>
      </c>
      <c r="B104" s="41" t="s">
        <v>843</v>
      </c>
      <c r="C104" s="41" t="s">
        <v>663</v>
      </c>
      <c r="D104" s="41" t="s">
        <v>304</v>
      </c>
      <c r="E104" s="42" t="s">
        <v>2</v>
      </c>
      <c r="F104" s="41"/>
      <c r="G104" s="46"/>
      <c r="H104" s="41"/>
    </row>
    <row r="105" spans="1:8" ht="15.75" customHeight="1" x14ac:dyDescent="0.7">
      <c r="A105" s="43" t="str">
        <f>HYPERLINK("https://bluetooth.atlassian.net/browse/ES-16998","16998")</f>
        <v>16998</v>
      </c>
      <c r="B105" s="44" t="s">
        <v>843</v>
      </c>
      <c r="C105" s="44" t="s">
        <v>903</v>
      </c>
      <c r="D105" s="44" t="s">
        <v>304</v>
      </c>
      <c r="E105" s="45" t="s">
        <v>2</v>
      </c>
      <c r="F105" s="44"/>
      <c r="G105" s="49"/>
      <c r="H105" s="44"/>
    </row>
    <row r="106" spans="1:8" ht="15.75" customHeight="1" x14ac:dyDescent="0.7">
      <c r="A106" s="40" t="str">
        <f>HYPERLINK("https://bluetooth.atlassian.net/browse/ES-18226","18226")</f>
        <v>18226</v>
      </c>
      <c r="B106" s="41" t="s">
        <v>843</v>
      </c>
      <c r="C106" s="41" t="s">
        <v>904</v>
      </c>
      <c r="D106" s="41" t="s">
        <v>305</v>
      </c>
      <c r="E106" s="42" t="s">
        <v>2</v>
      </c>
      <c r="F106" s="41"/>
      <c r="G106" s="46"/>
      <c r="H106" s="41"/>
    </row>
    <row r="107" spans="1:8" ht="15.75" customHeight="1" x14ac:dyDescent="0.7">
      <c r="A107" s="43" t="str">
        <f>HYPERLINK("https://bluetooth.atlassian.net/browse/ES-19321","19321")</f>
        <v>19321</v>
      </c>
      <c r="B107" s="44" t="s">
        <v>905</v>
      </c>
      <c r="C107" s="44" t="s">
        <v>906</v>
      </c>
      <c r="D107" s="44" t="s">
        <v>304</v>
      </c>
      <c r="E107" s="45" t="s">
        <v>2</v>
      </c>
      <c r="F107" s="44"/>
      <c r="G107" s="49"/>
      <c r="H107" s="44"/>
    </row>
    <row r="108" spans="1:8" ht="15.75" customHeight="1" x14ac:dyDescent="0.7">
      <c r="A108" s="40" t="str">
        <f>HYPERLINK("https://bluetooth.atlassian.net/browse/ES-19284","19284")</f>
        <v>19284</v>
      </c>
      <c r="B108" s="41" t="s">
        <v>905</v>
      </c>
      <c r="C108" s="41" t="s">
        <v>907</v>
      </c>
      <c r="D108" s="41" t="s">
        <v>304</v>
      </c>
      <c r="E108" s="42" t="s">
        <v>2</v>
      </c>
      <c r="F108" s="41"/>
      <c r="G108" s="46"/>
      <c r="H108" s="41"/>
    </row>
    <row r="109" spans="1:8" ht="15.75" customHeight="1" x14ac:dyDescent="0.7">
      <c r="A109" s="43" t="str">
        <f>HYPERLINK("https://bluetooth.atlassian.net/browse/ES-19269","19269")</f>
        <v>19269</v>
      </c>
      <c r="B109" s="44" t="s">
        <v>905</v>
      </c>
      <c r="C109" s="44" t="s">
        <v>908</v>
      </c>
      <c r="D109" s="44" t="s">
        <v>304</v>
      </c>
      <c r="E109" s="45" t="s">
        <v>2</v>
      </c>
      <c r="F109" s="44"/>
      <c r="G109" s="49"/>
      <c r="H109" s="44"/>
    </row>
    <row r="110" spans="1:8" ht="15.75" customHeight="1" x14ac:dyDescent="0.7">
      <c r="A110" s="40" t="str">
        <f>HYPERLINK("https://bluetooth.atlassian.net/browse/ES-19268","19268")</f>
        <v>19268</v>
      </c>
      <c r="B110" s="41" t="s">
        <v>905</v>
      </c>
      <c r="C110" s="41" t="s">
        <v>909</v>
      </c>
      <c r="D110" s="41" t="s">
        <v>304</v>
      </c>
      <c r="E110" s="42" t="s">
        <v>2</v>
      </c>
      <c r="F110" s="41"/>
      <c r="G110" s="46"/>
      <c r="H110" s="41"/>
    </row>
    <row r="111" spans="1:8" ht="15.75" customHeight="1" x14ac:dyDescent="0.7">
      <c r="A111" s="43" t="str">
        <f>HYPERLINK("https://bluetooth.atlassian.net/browse/ES-19267","19267")</f>
        <v>19267</v>
      </c>
      <c r="B111" s="44" t="s">
        <v>905</v>
      </c>
      <c r="C111" s="44" t="s">
        <v>910</v>
      </c>
      <c r="D111" s="44" t="s">
        <v>304</v>
      </c>
      <c r="E111" s="45" t="s">
        <v>2</v>
      </c>
      <c r="F111" s="44"/>
      <c r="G111" s="49"/>
      <c r="H111" s="44"/>
    </row>
    <row r="112" spans="1:8" ht="15.75" customHeight="1" x14ac:dyDescent="0.7">
      <c r="A112" s="40" t="str">
        <f>HYPERLINK("https://bluetooth.atlassian.net/browse/ES-19266","19266")</f>
        <v>19266</v>
      </c>
      <c r="B112" s="41" t="s">
        <v>905</v>
      </c>
      <c r="C112" s="41" t="s">
        <v>911</v>
      </c>
      <c r="D112" s="41" t="s">
        <v>304</v>
      </c>
      <c r="E112" s="42" t="s">
        <v>2</v>
      </c>
      <c r="F112" s="41"/>
      <c r="G112" s="46"/>
      <c r="H112" s="41"/>
    </row>
    <row r="113" spans="1:8" ht="15.75" customHeight="1" x14ac:dyDescent="0.7">
      <c r="A113" s="43" t="str">
        <f>HYPERLINK("https://bluetooth.atlassian.net/browse/ES-17070","17070")</f>
        <v>17070</v>
      </c>
      <c r="B113" s="44" t="s">
        <v>905</v>
      </c>
      <c r="C113" s="44" t="s">
        <v>912</v>
      </c>
      <c r="D113" s="44" t="s">
        <v>304</v>
      </c>
      <c r="E113" s="45" t="s">
        <v>2</v>
      </c>
      <c r="F113" s="44"/>
      <c r="G113" s="49"/>
      <c r="H113" s="44"/>
    </row>
    <row r="114" spans="1:8" ht="15.75" customHeight="1" x14ac:dyDescent="0.7">
      <c r="A114" s="40" t="str">
        <f>HYPERLINK("https://bluetooth.atlassian.net/browse/ES-20374","20374")</f>
        <v>20374</v>
      </c>
      <c r="B114" s="41" t="s">
        <v>913</v>
      </c>
      <c r="C114" s="41" t="s">
        <v>914</v>
      </c>
      <c r="D114" s="41" t="s">
        <v>304</v>
      </c>
      <c r="E114" s="42" t="s">
        <v>2</v>
      </c>
      <c r="F114" s="41"/>
      <c r="G114" s="46"/>
      <c r="H114" s="41"/>
    </row>
    <row r="115" spans="1:8" ht="16.5" customHeight="1" x14ac:dyDescent="0.7">
      <c r="A115" s="43" t="str">
        <f>HYPERLINK("https://bluetooth.atlassian.net/browse/ES-18896","18896")</f>
        <v>18896</v>
      </c>
      <c r="B115" s="44" t="s">
        <v>913</v>
      </c>
      <c r="C115" s="44" t="s">
        <v>915</v>
      </c>
      <c r="D115" s="44" t="s">
        <v>304</v>
      </c>
      <c r="E115" s="45" t="s">
        <v>2</v>
      </c>
      <c r="F115" s="44"/>
      <c r="G115" s="49"/>
      <c r="H115" s="44"/>
    </row>
    <row r="116" spans="1:8" ht="15.75" customHeight="1" x14ac:dyDescent="0.7">
      <c r="A116" s="40" t="str">
        <f>HYPERLINK("https://bluetooth.atlassian.net/browse/ES-20606","20606")</f>
        <v>20606</v>
      </c>
      <c r="B116" s="41" t="s">
        <v>913</v>
      </c>
      <c r="C116" s="41" t="s">
        <v>916</v>
      </c>
      <c r="D116" s="41" t="s">
        <v>304</v>
      </c>
      <c r="E116" s="42" t="s">
        <v>1</v>
      </c>
      <c r="F116" s="41">
        <v>1</v>
      </c>
      <c r="G116" s="52" t="str">
        <f>HYPERLINK("https://bluetooth.atlassian.net/browse/ES-22133","22133")</f>
        <v>22133</v>
      </c>
      <c r="H116" s="41" t="s">
        <v>917</v>
      </c>
    </row>
    <row r="117" spans="1:8" ht="15.75" customHeight="1" x14ac:dyDescent="0.7">
      <c r="A117" s="43" t="str">
        <f>HYPERLINK("https://bluetooth.atlassian.net/browse/ES-19093","19093")</f>
        <v>19093</v>
      </c>
      <c r="B117" s="44" t="s">
        <v>913</v>
      </c>
      <c r="C117" s="44" t="s">
        <v>918</v>
      </c>
      <c r="D117" s="44" t="s">
        <v>305</v>
      </c>
      <c r="E117" s="45" t="s">
        <v>2</v>
      </c>
      <c r="F117" s="44"/>
      <c r="G117" s="49"/>
      <c r="H117" s="44"/>
    </row>
    <row r="118" spans="1:8" ht="15.75" customHeight="1" x14ac:dyDescent="0.7">
      <c r="A118" s="40" t="str">
        <f>HYPERLINK("https://bluetooth.atlassian.net/browse/ES-18820","18820")</f>
        <v>18820</v>
      </c>
      <c r="B118" s="41" t="s">
        <v>913</v>
      </c>
      <c r="C118" s="41" t="s">
        <v>919</v>
      </c>
      <c r="D118" s="41" t="s">
        <v>305</v>
      </c>
      <c r="E118" s="42" t="s">
        <v>2</v>
      </c>
      <c r="F118" s="41"/>
      <c r="G118" s="46"/>
      <c r="H118" s="41"/>
    </row>
    <row r="119" spans="1:8" ht="25.5" customHeight="1" x14ac:dyDescent="0.7">
      <c r="A119" s="43" t="str">
        <f>HYPERLINK("https://bluetooth.atlassian.net/browse/ES-18819","18819")</f>
        <v>18819</v>
      </c>
      <c r="B119" s="44" t="s">
        <v>913</v>
      </c>
      <c r="C119" s="44" t="s">
        <v>920</v>
      </c>
      <c r="D119" s="44" t="s">
        <v>305</v>
      </c>
      <c r="E119" s="45" t="s">
        <v>1</v>
      </c>
      <c r="F119" s="44"/>
      <c r="G119" s="50" t="str">
        <f>HYPERLINK("https://bluetooth.atlassian.net/browse/ES-18571","18571")</f>
        <v>18571</v>
      </c>
      <c r="H119" s="44" t="s">
        <v>1787</v>
      </c>
    </row>
    <row r="120" spans="1:8" ht="15.75" customHeight="1" x14ac:dyDescent="0.7">
      <c r="A120" s="40">
        <v>18668</v>
      </c>
      <c r="B120" s="41" t="s">
        <v>913</v>
      </c>
      <c r="C120" s="41" t="s">
        <v>921</v>
      </c>
      <c r="D120" s="41" t="s">
        <v>305</v>
      </c>
      <c r="E120" s="42" t="s">
        <v>1</v>
      </c>
      <c r="F120" s="41">
        <v>2</v>
      </c>
      <c r="G120" s="52" t="str">
        <f>HYPERLINK("https://bluetooth.atlassian.net/browse/ES-18669","18669")</f>
        <v>18669</v>
      </c>
      <c r="H120" s="41" t="s">
        <v>922</v>
      </c>
    </row>
    <row r="121" spans="1:8" ht="17.25" customHeight="1" x14ac:dyDescent="0.7">
      <c r="A121" s="43">
        <v>18083</v>
      </c>
      <c r="B121" s="44" t="s">
        <v>913</v>
      </c>
      <c r="C121" s="44" t="s">
        <v>923</v>
      </c>
      <c r="D121" s="44" t="s">
        <v>305</v>
      </c>
      <c r="E121" s="45" t="s">
        <v>1</v>
      </c>
      <c r="F121" s="44">
        <v>2</v>
      </c>
      <c r="G121" s="50" t="str">
        <f>HYPERLINK("https://bluetooth.atlassian.net/browse/ES-18669","18669")</f>
        <v>18669</v>
      </c>
      <c r="H121" s="44" t="s">
        <v>922</v>
      </c>
    </row>
    <row r="122" spans="1:8" ht="18" customHeight="1" x14ac:dyDescent="0.7">
      <c r="A122" s="40" t="str">
        <f>HYPERLINK("https://bluetooth.atlassian.net/browse/ES-18962","18962")</f>
        <v>18962</v>
      </c>
      <c r="B122" s="41" t="s">
        <v>913</v>
      </c>
      <c r="C122" s="41" t="s">
        <v>924</v>
      </c>
      <c r="D122" s="41" t="s">
        <v>307</v>
      </c>
      <c r="E122" s="42" t="s">
        <v>2</v>
      </c>
      <c r="F122" s="41"/>
      <c r="G122" s="46"/>
      <c r="H122" s="41"/>
    </row>
    <row r="123" spans="1:8" ht="15.75" customHeight="1" x14ac:dyDescent="0.7">
      <c r="A123" s="43">
        <v>17946</v>
      </c>
      <c r="B123" s="44" t="s">
        <v>913</v>
      </c>
      <c r="C123" s="44" t="s">
        <v>925</v>
      </c>
      <c r="D123" s="44" t="s">
        <v>307</v>
      </c>
      <c r="E123" s="45" t="s">
        <v>1</v>
      </c>
      <c r="F123" s="44">
        <v>4</v>
      </c>
      <c r="G123" s="50" t="str">
        <f>HYPERLINK("https://bluetooth.atlassian.net/browse/ES-18444","18444")</f>
        <v>18444</v>
      </c>
      <c r="H123" s="44" t="s">
        <v>926</v>
      </c>
    </row>
    <row r="124" spans="1:8" ht="15.75" customHeight="1" x14ac:dyDescent="0.7">
      <c r="A124" s="40" t="str">
        <f>HYPERLINK("https://bluetooth.atlassian.net/browse/ES-17832","17832")</f>
        <v>17832</v>
      </c>
      <c r="B124" s="41" t="s">
        <v>913</v>
      </c>
      <c r="C124" s="41" t="s">
        <v>927</v>
      </c>
      <c r="D124" s="41" t="s">
        <v>307</v>
      </c>
      <c r="E124" s="42" t="s">
        <v>2</v>
      </c>
      <c r="F124" s="41"/>
      <c r="G124" s="52" t="str">
        <f>HYPERLINK("https://bluetooth.atlassian.net/browse/ES-20610","20610")</f>
        <v>20610</v>
      </c>
      <c r="H124" s="41" t="s">
        <v>928</v>
      </c>
    </row>
    <row r="125" spans="1:8" ht="25.5" customHeight="1" x14ac:dyDescent="0.7">
      <c r="A125" s="43" t="str">
        <f>HYPERLINK("https://bluetooth.atlassian.net/browse/ES-17470","17470")</f>
        <v>17470</v>
      </c>
      <c r="B125" s="44" t="s">
        <v>913</v>
      </c>
      <c r="C125" s="44" t="s">
        <v>929</v>
      </c>
      <c r="D125" s="44" t="s">
        <v>307</v>
      </c>
      <c r="E125" s="45" t="s">
        <v>2</v>
      </c>
      <c r="F125" s="44"/>
      <c r="G125" s="49"/>
      <c r="H125" s="44"/>
    </row>
    <row r="126" spans="1:8" ht="24.75" customHeight="1" x14ac:dyDescent="0.7">
      <c r="A126" s="40">
        <v>17214</v>
      </c>
      <c r="B126" s="41" t="s">
        <v>913</v>
      </c>
      <c r="C126" s="41" t="s">
        <v>930</v>
      </c>
      <c r="D126" s="41" t="s">
        <v>307</v>
      </c>
      <c r="E126" s="42" t="s">
        <v>1</v>
      </c>
      <c r="F126" s="41">
        <v>2</v>
      </c>
      <c r="G126" s="52" t="str">
        <f>HYPERLINK("https://bluetooth.atlassian.net/browse/ES-17191","17191")</f>
        <v>17191</v>
      </c>
      <c r="H126" s="41" t="s">
        <v>931</v>
      </c>
    </row>
    <row r="127" spans="1:8" ht="15.75" customHeight="1" x14ac:dyDescent="0.7">
      <c r="A127" s="43" t="str">
        <f>HYPERLINK("https://bluetooth.atlassian.net/browse/ES-16962","16962")</f>
        <v>16962</v>
      </c>
      <c r="B127" s="44" t="s">
        <v>932</v>
      </c>
      <c r="C127" s="44" t="s">
        <v>933</v>
      </c>
      <c r="D127" s="44" t="s">
        <v>304</v>
      </c>
      <c r="E127" s="45" t="s">
        <v>2</v>
      </c>
      <c r="F127" s="44"/>
      <c r="G127" s="49"/>
      <c r="H127" s="44"/>
    </row>
    <row r="128" spans="1:8" ht="15.75" customHeight="1" x14ac:dyDescent="0.7">
      <c r="A128" s="40" t="str">
        <f>HYPERLINK("https://bluetooth.atlassian.net/browse/ES-16947","16947")</f>
        <v>16947</v>
      </c>
      <c r="B128" s="41" t="s">
        <v>932</v>
      </c>
      <c r="C128" s="41" t="s">
        <v>934</v>
      </c>
      <c r="D128" s="41" t="s">
        <v>304</v>
      </c>
      <c r="E128" s="42" t="s">
        <v>2</v>
      </c>
      <c r="F128" s="41"/>
      <c r="G128" s="46"/>
      <c r="H128" s="41"/>
    </row>
    <row r="129" spans="1:8" ht="15.75" customHeight="1" x14ac:dyDescent="0.7">
      <c r="A129" s="43" t="str">
        <f>HYPERLINK("https://bluetooth.atlassian.net/browse/ES-19194","19194")</f>
        <v>19194</v>
      </c>
      <c r="B129" s="44" t="s">
        <v>935</v>
      </c>
      <c r="C129" s="44" t="s">
        <v>936</v>
      </c>
      <c r="D129" s="44" t="s">
        <v>304</v>
      </c>
      <c r="E129" s="45" t="s">
        <v>2</v>
      </c>
      <c r="F129" s="44"/>
      <c r="G129" s="49"/>
      <c r="H129" s="44"/>
    </row>
    <row r="130" spans="1:8" ht="15.75" customHeight="1" x14ac:dyDescent="0.7">
      <c r="A130" s="40" t="str">
        <f>HYPERLINK("https://bluetooth.atlassian.net/browse/ES-19169","19169")</f>
        <v>19169</v>
      </c>
      <c r="B130" s="41" t="s">
        <v>935</v>
      </c>
      <c r="C130" s="41" t="s">
        <v>937</v>
      </c>
      <c r="D130" s="41" t="s">
        <v>305</v>
      </c>
      <c r="E130" s="42" t="s">
        <v>2</v>
      </c>
      <c r="F130" s="41"/>
      <c r="G130" s="46"/>
      <c r="H130" s="41"/>
    </row>
    <row r="131" spans="1:8" ht="15.75" customHeight="1" x14ac:dyDescent="0.7">
      <c r="A131" s="43" t="str">
        <f>HYPERLINK("https://bluetooth.atlassian.net/browse/ES-17090","17090")</f>
        <v>17090</v>
      </c>
      <c r="B131" s="44" t="s">
        <v>158</v>
      </c>
      <c r="C131" s="44" t="s">
        <v>938</v>
      </c>
      <c r="D131" s="44" t="s">
        <v>304</v>
      </c>
      <c r="E131" s="45" t="s">
        <v>2</v>
      </c>
      <c r="F131" s="44"/>
      <c r="G131" s="49"/>
      <c r="H131" s="44"/>
    </row>
    <row r="132" spans="1:8" ht="15.75" customHeight="1" x14ac:dyDescent="0.7">
      <c r="A132" s="40" t="str">
        <f>HYPERLINK("https://bluetooth.atlassian.net/browse/ES-16542","16542")</f>
        <v>16542</v>
      </c>
      <c r="B132" s="41" t="s">
        <v>158</v>
      </c>
      <c r="C132" s="41" t="s">
        <v>939</v>
      </c>
      <c r="D132" s="41" t="s">
        <v>305</v>
      </c>
      <c r="E132" s="42" t="s">
        <v>2</v>
      </c>
      <c r="F132" s="41"/>
      <c r="G132" s="46"/>
      <c r="H132" s="41"/>
    </row>
    <row r="133" spans="1:8" ht="15.75" customHeight="1" x14ac:dyDescent="0.7">
      <c r="A133" s="43" t="str">
        <f>HYPERLINK("https://bluetooth.atlassian.net/browse/ES-19202","19202")</f>
        <v>19202</v>
      </c>
      <c r="B133" s="44" t="s">
        <v>940</v>
      </c>
      <c r="C133" s="44" t="s">
        <v>941</v>
      </c>
      <c r="D133" s="44" t="s">
        <v>304</v>
      </c>
      <c r="E133" s="45" t="s">
        <v>2</v>
      </c>
      <c r="F133" s="44"/>
      <c r="G133" s="49"/>
      <c r="H133" s="44"/>
    </row>
    <row r="134" spans="1:8" ht="27" customHeight="1" x14ac:dyDescent="0.7">
      <c r="A134" s="40" t="str">
        <f>HYPERLINK("https://bluetooth.atlassian.net/browse/ES-17108","17108")</f>
        <v>17108</v>
      </c>
      <c r="B134" s="41" t="s">
        <v>71</v>
      </c>
      <c r="C134" s="41" t="s">
        <v>942</v>
      </c>
      <c r="D134" s="41" t="s">
        <v>304</v>
      </c>
      <c r="E134" s="42" t="s">
        <v>2</v>
      </c>
      <c r="F134" s="41"/>
      <c r="G134" s="46"/>
      <c r="H134" s="41"/>
    </row>
    <row r="135" spans="1:8" ht="15.75" customHeight="1" x14ac:dyDescent="0.7">
      <c r="A135" s="43">
        <v>17069</v>
      </c>
      <c r="B135" s="44" t="s">
        <v>71</v>
      </c>
      <c r="C135" s="44" t="s">
        <v>943</v>
      </c>
      <c r="D135" s="44" t="s">
        <v>304</v>
      </c>
      <c r="E135" s="45" t="s">
        <v>1</v>
      </c>
      <c r="F135" s="44">
        <v>2</v>
      </c>
      <c r="G135" s="50" t="str">
        <f>HYPERLINK("https://bluetooth.atlassian.net/browse/ES-17150","17150")</f>
        <v>17150</v>
      </c>
      <c r="H135" s="44" t="s">
        <v>944</v>
      </c>
    </row>
    <row r="136" spans="1:8" ht="15.75" customHeight="1" x14ac:dyDescent="0.7">
      <c r="A136" s="40" t="str">
        <f>HYPERLINK("https://bluetooth.atlassian.net/browse/ES-17065","17065")</f>
        <v>17065</v>
      </c>
      <c r="B136" s="41" t="s">
        <v>71</v>
      </c>
      <c r="C136" s="41" t="s">
        <v>945</v>
      </c>
      <c r="D136" s="41" t="s">
        <v>304</v>
      </c>
      <c r="E136" s="42" t="s">
        <v>2</v>
      </c>
      <c r="F136" s="41"/>
      <c r="G136" s="46"/>
      <c r="H136" s="41"/>
    </row>
    <row r="137" spans="1:8" ht="15.75" customHeight="1" x14ac:dyDescent="0.7">
      <c r="A137" s="43" t="str">
        <f>HYPERLINK("https://bluetooth.atlassian.net/browse/ES-17032","17032")</f>
        <v>17032</v>
      </c>
      <c r="B137" s="44" t="s">
        <v>71</v>
      </c>
      <c r="C137" s="44" t="s">
        <v>946</v>
      </c>
      <c r="D137" s="44" t="s">
        <v>304</v>
      </c>
      <c r="E137" s="45" t="s">
        <v>2</v>
      </c>
      <c r="F137" s="44"/>
      <c r="G137" s="49"/>
      <c r="H137" s="44"/>
    </row>
    <row r="138" spans="1:8" ht="30.75" customHeight="1" x14ac:dyDescent="0.7">
      <c r="A138" s="40" t="str">
        <f>HYPERLINK("https://bluetooth.atlassian.net/browse/ES-16966","16966")</f>
        <v>16966</v>
      </c>
      <c r="B138" s="41" t="s">
        <v>71</v>
      </c>
      <c r="C138" s="41" t="s">
        <v>947</v>
      </c>
      <c r="D138" s="41" t="s">
        <v>304</v>
      </c>
      <c r="E138" s="42" t="s">
        <v>2</v>
      </c>
      <c r="F138" s="41"/>
      <c r="G138" s="46"/>
      <c r="H138" s="41"/>
    </row>
    <row r="139" spans="1:8" ht="15.75" customHeight="1" x14ac:dyDescent="0.7">
      <c r="A139" s="43" t="str">
        <f>HYPERLINK("https://bluetooth.atlassian.net/browse/ES-16934","16934")</f>
        <v>16934</v>
      </c>
      <c r="B139" s="44" t="s">
        <v>71</v>
      </c>
      <c r="C139" s="44" t="s">
        <v>948</v>
      </c>
      <c r="D139" s="44" t="s">
        <v>304</v>
      </c>
      <c r="E139" s="45" t="s">
        <v>2</v>
      </c>
      <c r="F139" s="44"/>
      <c r="G139" s="49"/>
      <c r="H139" s="44"/>
    </row>
    <row r="140" spans="1:8" ht="13.5" customHeight="1" x14ac:dyDescent="0.7">
      <c r="A140" s="40" t="str">
        <f>HYPERLINK("https://bluetooth.atlassian.net/browse/ES-17125","17125")</f>
        <v>17125</v>
      </c>
      <c r="B140" s="41" t="s">
        <v>71</v>
      </c>
      <c r="C140" s="41" t="s">
        <v>949</v>
      </c>
      <c r="D140" s="41" t="s">
        <v>305</v>
      </c>
      <c r="E140" s="42" t="s">
        <v>2</v>
      </c>
      <c r="F140" s="41"/>
      <c r="G140" s="46"/>
      <c r="H140" s="41"/>
    </row>
    <row r="141" spans="1:8" ht="18" customHeight="1" x14ac:dyDescent="0.7">
      <c r="A141" s="43">
        <v>16908</v>
      </c>
      <c r="B141" s="44" t="s">
        <v>71</v>
      </c>
      <c r="C141" s="44" t="s">
        <v>950</v>
      </c>
      <c r="D141" s="44" t="s">
        <v>305</v>
      </c>
      <c r="E141" s="45" t="s">
        <v>1</v>
      </c>
      <c r="F141" s="44">
        <v>2</v>
      </c>
      <c r="G141" s="50" t="str">
        <f>HYPERLINK("https://bluetooth.atlassian.net/browse/ES-16960","16960")</f>
        <v>16960</v>
      </c>
      <c r="H141" s="44" t="s">
        <v>951</v>
      </c>
    </row>
    <row r="142" spans="1:8" ht="15.75" customHeight="1" x14ac:dyDescent="0.7">
      <c r="A142" s="40" t="str">
        <f>HYPERLINK("https://bluetooth.atlassian.net/browse/ES-16850","16850")</f>
        <v>16850</v>
      </c>
      <c r="B142" s="41" t="s">
        <v>71</v>
      </c>
      <c r="C142" s="41" t="s">
        <v>952</v>
      </c>
      <c r="D142" s="41" t="s">
        <v>305</v>
      </c>
      <c r="E142" s="42" t="s">
        <v>2</v>
      </c>
      <c r="F142" s="41"/>
      <c r="G142" s="46"/>
      <c r="H142" s="41"/>
    </row>
    <row r="143" spans="1:8" ht="15.75" customHeight="1" x14ac:dyDescent="0.7">
      <c r="A143" s="43" t="str">
        <f>HYPERLINK("https://bluetooth.atlassian.net/browse/ES-16778","16778")</f>
        <v>16778</v>
      </c>
      <c r="B143" s="44" t="s">
        <v>71</v>
      </c>
      <c r="C143" s="44" t="s">
        <v>953</v>
      </c>
      <c r="D143" s="44" t="s">
        <v>305</v>
      </c>
      <c r="E143" s="45" t="s">
        <v>2</v>
      </c>
      <c r="F143" s="44"/>
      <c r="G143" s="49"/>
      <c r="H143" s="44"/>
    </row>
    <row r="144" spans="1:8" ht="15.75" customHeight="1" x14ac:dyDescent="0.7">
      <c r="A144" s="40">
        <v>16775</v>
      </c>
      <c r="B144" s="41" t="s">
        <v>71</v>
      </c>
      <c r="C144" s="41" t="s">
        <v>954</v>
      </c>
      <c r="D144" s="41" t="s">
        <v>305</v>
      </c>
      <c r="E144" s="42" t="s">
        <v>1</v>
      </c>
      <c r="F144" s="41">
        <v>2</v>
      </c>
      <c r="G144" s="52" t="str">
        <f>HYPERLINK("https://bluetooth.atlassian.net/browse/ES-16961","16961")</f>
        <v>16961</v>
      </c>
      <c r="H144" s="41" t="s">
        <v>955</v>
      </c>
    </row>
    <row r="145" spans="1:8" ht="15.75" customHeight="1" x14ac:dyDescent="0.7">
      <c r="A145" s="43">
        <v>16769</v>
      </c>
      <c r="B145" s="44" t="s">
        <v>71</v>
      </c>
      <c r="C145" s="44" t="s">
        <v>956</v>
      </c>
      <c r="D145" s="44" t="s">
        <v>305</v>
      </c>
      <c r="E145" s="45" t="s">
        <v>1</v>
      </c>
      <c r="F145" s="44">
        <v>4</v>
      </c>
      <c r="G145" s="50" t="str">
        <f>HYPERLINK("https://bluetooth.atlassian.net/browse/ES-16919","16919")</f>
        <v>16919</v>
      </c>
      <c r="H145" s="44" t="s">
        <v>957</v>
      </c>
    </row>
    <row r="146" spans="1:8" ht="24" customHeight="1" x14ac:dyDescent="0.7">
      <c r="A146" s="40" t="str">
        <f>HYPERLINK("https://bluetooth.atlassian.net/browse/ES-17021","17021")</f>
        <v>17021</v>
      </c>
      <c r="B146" s="41" t="s">
        <v>71</v>
      </c>
      <c r="C146" s="41" t="s">
        <v>958</v>
      </c>
      <c r="D146" s="41" t="s">
        <v>307</v>
      </c>
      <c r="E146" s="42" t="s">
        <v>1</v>
      </c>
      <c r="F146" s="41">
        <v>3</v>
      </c>
      <c r="G146" s="52" t="str">
        <f>HYPERLINK("https://bluetooth.atlassian.net/browse/ES-22142","22142")</f>
        <v>22142</v>
      </c>
      <c r="H146" s="41" t="s">
        <v>959</v>
      </c>
    </row>
    <row r="147" spans="1:8" ht="15.75" customHeight="1" x14ac:dyDescent="0.7">
      <c r="A147" s="43" t="str">
        <f>HYPERLINK("https://bluetooth.atlassian.net/browse/ES-16591","16591")</f>
        <v>16591</v>
      </c>
      <c r="B147" s="44" t="s">
        <v>71</v>
      </c>
      <c r="C147" s="44" t="s">
        <v>960</v>
      </c>
      <c r="D147" s="44" t="s">
        <v>307</v>
      </c>
      <c r="E147" s="45" t="s">
        <v>1</v>
      </c>
      <c r="F147" s="44">
        <v>3</v>
      </c>
      <c r="G147" s="50" t="str">
        <f>HYPERLINK("https://bluetooth.atlassian.net/browse/ES-20637","20637")</f>
        <v>20637</v>
      </c>
      <c r="H147" s="44" t="s">
        <v>961</v>
      </c>
    </row>
    <row r="148" spans="1:8" ht="27" customHeight="1" x14ac:dyDescent="0.7">
      <c r="A148" s="40" t="str">
        <f>HYPERLINK("https://bluetooth.atlassian.net/browse/ES-19197","19197")</f>
        <v>19197</v>
      </c>
      <c r="B148" s="41" t="s">
        <v>962</v>
      </c>
      <c r="C148" s="41" t="s">
        <v>963</v>
      </c>
      <c r="D148" s="41" t="s">
        <v>204</v>
      </c>
      <c r="E148" s="42" t="s">
        <v>1</v>
      </c>
      <c r="F148" s="41">
        <v>4</v>
      </c>
      <c r="G148" s="52" t="str">
        <f>HYPERLINK("https://bluetooth.atlassian.net/browse/ES-19210","19210")</f>
        <v>19210</v>
      </c>
      <c r="H148" s="41" t="s">
        <v>964</v>
      </c>
    </row>
    <row r="149" spans="1:8" ht="25.5" customHeight="1" x14ac:dyDescent="0.7">
      <c r="A149" s="43" t="str">
        <f>HYPERLINK("https://bluetooth.atlassian.net/browse/ES-18625","18625")</f>
        <v>18625</v>
      </c>
      <c r="B149" s="44" t="s">
        <v>962</v>
      </c>
      <c r="C149" s="44" t="s">
        <v>965</v>
      </c>
      <c r="D149" s="44" t="s">
        <v>304</v>
      </c>
      <c r="E149" s="45" t="s">
        <v>2</v>
      </c>
      <c r="F149" s="44"/>
      <c r="G149" s="49"/>
      <c r="H149" s="44"/>
    </row>
    <row r="150" spans="1:8" ht="15.75" customHeight="1" x14ac:dyDescent="0.7">
      <c r="A150" s="40" t="str">
        <f>HYPERLINK("https://bluetooth.atlassian.net/browse/ES-18615","18615")</f>
        <v>18615</v>
      </c>
      <c r="B150" s="41" t="s">
        <v>962</v>
      </c>
      <c r="C150" s="41" t="s">
        <v>966</v>
      </c>
      <c r="D150" s="41" t="s">
        <v>304</v>
      </c>
      <c r="E150" s="42" t="s">
        <v>2</v>
      </c>
      <c r="F150" s="41"/>
      <c r="G150" s="46"/>
      <c r="H150" s="41"/>
    </row>
    <row r="151" spans="1:8" ht="15.75" customHeight="1" x14ac:dyDescent="0.7">
      <c r="A151" s="43">
        <v>18401</v>
      </c>
      <c r="B151" s="44" t="s">
        <v>962</v>
      </c>
      <c r="C151" s="44" t="s">
        <v>967</v>
      </c>
      <c r="D151" s="44" t="s">
        <v>304</v>
      </c>
      <c r="E151" s="45" t="s">
        <v>1</v>
      </c>
      <c r="F151" s="44">
        <v>2</v>
      </c>
      <c r="G151" s="50" t="str">
        <f>HYPERLINK("https://bluetooth.atlassian.net/browse/ES-18992","18992")</f>
        <v>18992</v>
      </c>
      <c r="H151" s="44" t="s">
        <v>968</v>
      </c>
    </row>
    <row r="152" spans="1:8" ht="15.75" customHeight="1" x14ac:dyDescent="0.7">
      <c r="A152" s="40" t="str">
        <f>HYPERLINK("https://bluetooth.atlassian.net/browse/ES-18280","18280")</f>
        <v>18280</v>
      </c>
      <c r="B152" s="41" t="s">
        <v>962</v>
      </c>
      <c r="C152" s="41" t="s">
        <v>969</v>
      </c>
      <c r="D152" s="41" t="s">
        <v>304</v>
      </c>
      <c r="E152" s="42" t="s">
        <v>2</v>
      </c>
      <c r="F152" s="41"/>
      <c r="G152" s="46"/>
      <c r="H152" s="41"/>
    </row>
    <row r="153" spans="1:8" ht="18" customHeight="1" x14ac:dyDescent="0.7">
      <c r="A153" s="43" t="str">
        <f>HYPERLINK("https://bluetooth.atlassian.net/browse/ES-18094","18094")</f>
        <v>18094</v>
      </c>
      <c r="B153" s="44" t="s">
        <v>962</v>
      </c>
      <c r="C153" s="44" t="s">
        <v>970</v>
      </c>
      <c r="D153" s="44" t="s">
        <v>304</v>
      </c>
      <c r="E153" s="45" t="s">
        <v>2</v>
      </c>
      <c r="F153" s="44"/>
      <c r="G153" s="49"/>
      <c r="H153" s="44"/>
    </row>
    <row r="154" spans="1:8" ht="18" customHeight="1" x14ac:dyDescent="0.7">
      <c r="A154" s="40" t="str">
        <f>HYPERLINK("https://bluetooth.atlassian.net/browse/ES-17697","17697")</f>
        <v>17697</v>
      </c>
      <c r="B154" s="41" t="s">
        <v>962</v>
      </c>
      <c r="C154" s="41" t="s">
        <v>971</v>
      </c>
      <c r="D154" s="41" t="s">
        <v>304</v>
      </c>
      <c r="E154" s="42" t="s">
        <v>2</v>
      </c>
      <c r="F154" s="41"/>
      <c r="G154" s="46"/>
      <c r="H154" s="41"/>
    </row>
    <row r="155" spans="1:8" ht="15.75" customHeight="1" x14ac:dyDescent="0.7">
      <c r="A155" s="43" t="str">
        <f>HYPERLINK("https://bluetooth.atlassian.net/browse/ES-17407","17407")</f>
        <v>17407</v>
      </c>
      <c r="B155" s="44" t="s">
        <v>962</v>
      </c>
      <c r="C155" s="44" t="s">
        <v>972</v>
      </c>
      <c r="D155" s="44" t="s">
        <v>310</v>
      </c>
      <c r="E155" s="45" t="s">
        <v>2</v>
      </c>
      <c r="F155" s="44"/>
      <c r="G155" s="49"/>
      <c r="H155" s="44"/>
    </row>
    <row r="156" spans="1:8" ht="15.75" customHeight="1" x14ac:dyDescent="0.7">
      <c r="A156" s="40">
        <v>20424</v>
      </c>
      <c r="B156" s="41" t="s">
        <v>962</v>
      </c>
      <c r="C156" s="41" t="s">
        <v>973</v>
      </c>
      <c r="D156" s="41" t="s">
        <v>305</v>
      </c>
      <c r="E156" s="42" t="s">
        <v>1</v>
      </c>
      <c r="F156" s="41">
        <v>4</v>
      </c>
      <c r="G156" s="52" t="str">
        <f>HYPERLINK("https://bluetooth.atlassian.net/browse/ES-20441","20441")</f>
        <v>20441</v>
      </c>
      <c r="H156" s="41" t="s">
        <v>974</v>
      </c>
    </row>
    <row r="157" spans="1:8" ht="28.5" customHeight="1" x14ac:dyDescent="0.7">
      <c r="A157" s="43" t="str">
        <f>HYPERLINK("https://bluetooth.atlassian.net/browse/ES-18686","18686")</f>
        <v>18686</v>
      </c>
      <c r="B157" s="44" t="s">
        <v>962</v>
      </c>
      <c r="C157" s="44" t="s">
        <v>975</v>
      </c>
      <c r="D157" s="44" t="s">
        <v>305</v>
      </c>
      <c r="E157" s="45" t="s">
        <v>2</v>
      </c>
      <c r="F157" s="44"/>
      <c r="G157" s="49"/>
      <c r="H157" s="44"/>
    </row>
    <row r="158" spans="1:8" ht="15.75" customHeight="1" x14ac:dyDescent="0.7">
      <c r="A158" s="40" t="str">
        <f>HYPERLINK("https://bluetooth.atlassian.net/browse/ES-18685","18685")</f>
        <v>18685</v>
      </c>
      <c r="B158" s="41" t="s">
        <v>962</v>
      </c>
      <c r="C158" s="41" t="s">
        <v>976</v>
      </c>
      <c r="D158" s="41" t="s">
        <v>305</v>
      </c>
      <c r="E158" s="42" t="s">
        <v>1</v>
      </c>
      <c r="F158" s="41">
        <v>3</v>
      </c>
      <c r="G158" s="52" t="str">
        <f>HYPERLINK("https://bluetooth.atlassian.net/browse/ES-20611","20611")</f>
        <v>20611</v>
      </c>
      <c r="H158" s="41" t="s">
        <v>977</v>
      </c>
    </row>
    <row r="159" spans="1:8" ht="15.75" customHeight="1" x14ac:dyDescent="0.7">
      <c r="A159" s="43" t="str">
        <f>HYPERLINK("https://bluetooth.atlassian.net/browse/ES-18655","18655")</f>
        <v>18655</v>
      </c>
      <c r="B159" s="44" t="s">
        <v>962</v>
      </c>
      <c r="C159" s="44" t="s">
        <v>978</v>
      </c>
      <c r="D159" s="44" t="s">
        <v>305</v>
      </c>
      <c r="E159" s="45" t="s">
        <v>2</v>
      </c>
      <c r="F159" s="44"/>
      <c r="G159" s="49"/>
      <c r="H159" s="44"/>
    </row>
    <row r="160" spans="1:8" ht="15.75" customHeight="1" x14ac:dyDescent="0.7">
      <c r="A160" s="40" t="str">
        <f>HYPERLINK("https://bluetooth.atlassian.net/browse/ES-18538","18538")</f>
        <v>18538</v>
      </c>
      <c r="B160" s="41" t="s">
        <v>962</v>
      </c>
      <c r="C160" s="41" t="s">
        <v>979</v>
      </c>
      <c r="D160" s="41" t="s">
        <v>305</v>
      </c>
      <c r="E160" s="42" t="s">
        <v>2</v>
      </c>
      <c r="F160" s="41"/>
      <c r="G160" s="46"/>
      <c r="H160" s="41"/>
    </row>
    <row r="161" spans="1:8" ht="25.5" customHeight="1" x14ac:dyDescent="0.7">
      <c r="A161" s="43" t="str">
        <f>HYPERLINK("https://bluetooth.atlassian.net/browse/ES-18047","18047")</f>
        <v>18047</v>
      </c>
      <c r="B161" s="44" t="s">
        <v>962</v>
      </c>
      <c r="C161" s="44" t="s">
        <v>980</v>
      </c>
      <c r="D161" s="44" t="s">
        <v>305</v>
      </c>
      <c r="E161" s="45" t="s">
        <v>2</v>
      </c>
      <c r="F161" s="44"/>
      <c r="G161" s="50" t="str">
        <f>HYPERLINK("https://bluetooth.atlassian.net/browse/ES-18517","18517")</f>
        <v>18517</v>
      </c>
      <c r="H161" s="44" t="s">
        <v>981</v>
      </c>
    </row>
    <row r="162" spans="1:8" ht="24.75" customHeight="1" x14ac:dyDescent="0.7">
      <c r="A162" s="40" t="str">
        <f>HYPERLINK("https://bluetooth.atlassian.net/browse/ES-18024","18024")</f>
        <v>18024</v>
      </c>
      <c r="B162" s="41" t="s">
        <v>962</v>
      </c>
      <c r="C162" s="41" t="s">
        <v>982</v>
      </c>
      <c r="D162" s="41" t="s">
        <v>305</v>
      </c>
      <c r="E162" s="42" t="s">
        <v>2</v>
      </c>
      <c r="F162" s="41"/>
      <c r="G162" s="46"/>
      <c r="H162" s="41"/>
    </row>
    <row r="163" spans="1:8" ht="15.75" customHeight="1" x14ac:dyDescent="0.7">
      <c r="A163" s="43" t="str">
        <f>HYPERLINK("https://bluetooth.atlassian.net/browse/ES-17762","17762")</f>
        <v>17762</v>
      </c>
      <c r="B163" s="44" t="s">
        <v>962</v>
      </c>
      <c r="C163" s="44" t="s">
        <v>983</v>
      </c>
      <c r="D163" s="44" t="s">
        <v>305</v>
      </c>
      <c r="E163" s="45" t="s">
        <v>1</v>
      </c>
      <c r="F163" s="44">
        <v>2</v>
      </c>
      <c r="G163" s="50" t="str">
        <f>HYPERLINK("https://bluetooth.atlassian.net/browse/ES-22151","22151")</f>
        <v>22151</v>
      </c>
      <c r="H163" s="44" t="s">
        <v>984</v>
      </c>
    </row>
    <row r="164" spans="1:8" ht="15.75" customHeight="1" x14ac:dyDescent="0.7">
      <c r="A164" s="40">
        <v>17646</v>
      </c>
      <c r="B164" s="41" t="s">
        <v>962</v>
      </c>
      <c r="C164" s="41" t="s">
        <v>985</v>
      </c>
      <c r="D164" s="41" t="s">
        <v>305</v>
      </c>
      <c r="E164" s="42" t="s">
        <v>1</v>
      </c>
      <c r="F164" s="41">
        <v>4</v>
      </c>
      <c r="G164" s="52" t="str">
        <f>HYPERLINK("https://bluetooth.atlassian.net/browse/ES-17713","17713")</f>
        <v>17713</v>
      </c>
      <c r="H164" s="41" t="s">
        <v>986</v>
      </c>
    </row>
    <row r="165" spans="1:8" ht="15.75" customHeight="1" x14ac:dyDescent="0.7">
      <c r="A165" s="43">
        <v>17510</v>
      </c>
      <c r="B165" s="44" t="s">
        <v>962</v>
      </c>
      <c r="C165" s="44" t="s">
        <v>987</v>
      </c>
      <c r="D165" s="44" t="s">
        <v>305</v>
      </c>
      <c r="E165" s="45" t="s">
        <v>1</v>
      </c>
      <c r="F165" s="44">
        <v>2</v>
      </c>
      <c r="G165" s="50" t="str">
        <f>HYPERLINK("https://bluetooth.atlassian.net/browse/ES-17515","17515")</f>
        <v>17515</v>
      </c>
      <c r="H165" s="44" t="s">
        <v>988</v>
      </c>
    </row>
    <row r="166" spans="1:8" ht="15.75" customHeight="1" x14ac:dyDescent="0.7">
      <c r="A166" s="40" t="str">
        <f>HYPERLINK("https://bluetooth.atlassian.net/browse/ES-17469","17469")</f>
        <v>17469</v>
      </c>
      <c r="B166" s="41" t="s">
        <v>962</v>
      </c>
      <c r="C166" s="41" t="s">
        <v>989</v>
      </c>
      <c r="D166" s="41" t="s">
        <v>305</v>
      </c>
      <c r="E166" s="42" t="s">
        <v>2</v>
      </c>
      <c r="F166" s="41"/>
      <c r="G166" s="46"/>
      <c r="H166" s="41"/>
    </row>
    <row r="167" spans="1:8" ht="15.75" customHeight="1" x14ac:dyDescent="0.7">
      <c r="A167" s="43" t="str">
        <f>HYPERLINK("https://bluetooth.atlassian.net/browse/ES-20487","20487")</f>
        <v>20487</v>
      </c>
      <c r="B167" s="44" t="s">
        <v>962</v>
      </c>
      <c r="C167" s="44" t="s">
        <v>990</v>
      </c>
      <c r="D167" s="44" t="s">
        <v>305</v>
      </c>
      <c r="E167" s="45" t="s">
        <v>2</v>
      </c>
      <c r="F167" s="44"/>
      <c r="G167" s="49"/>
      <c r="H167" s="44"/>
    </row>
    <row r="168" spans="1:8" ht="15.75" customHeight="1" x14ac:dyDescent="0.7">
      <c r="A168" s="40" t="str">
        <f>HYPERLINK("https://bluetooth.atlassian.net/browse/ES-20392","20392")</f>
        <v>20392</v>
      </c>
      <c r="B168" s="41" t="s">
        <v>962</v>
      </c>
      <c r="C168" s="41" t="s">
        <v>991</v>
      </c>
      <c r="D168" s="41" t="s">
        <v>305</v>
      </c>
      <c r="E168" s="42" t="s">
        <v>1</v>
      </c>
      <c r="F168" s="41"/>
      <c r="G168" s="52" t="str">
        <f>HYPERLINK("https://bluetooth.atlassian.net/browse/ES-20342","20342")</f>
        <v>20342</v>
      </c>
      <c r="H168" s="41" t="s">
        <v>1769</v>
      </c>
    </row>
    <row r="169" spans="1:8" ht="27" customHeight="1" x14ac:dyDescent="0.7">
      <c r="A169" s="43">
        <v>19215</v>
      </c>
      <c r="B169" s="44" t="s">
        <v>962</v>
      </c>
      <c r="C169" s="44" t="s">
        <v>992</v>
      </c>
      <c r="D169" s="44" t="s">
        <v>307</v>
      </c>
      <c r="E169" s="45" t="s">
        <v>1</v>
      </c>
      <c r="F169" s="44">
        <v>4</v>
      </c>
      <c r="G169" s="50" t="str">
        <f>HYPERLINK("https://bluetooth.atlassian.net/browse/ES-19280","19280")</f>
        <v>19280</v>
      </c>
      <c r="H169" s="44" t="s">
        <v>993</v>
      </c>
    </row>
    <row r="170" spans="1:8" ht="15.75" customHeight="1" x14ac:dyDescent="0.7">
      <c r="A170" s="40">
        <v>19211</v>
      </c>
      <c r="B170" s="41" t="s">
        <v>962</v>
      </c>
      <c r="C170" s="41" t="s">
        <v>994</v>
      </c>
      <c r="D170" s="41" t="s">
        <v>307</v>
      </c>
      <c r="E170" s="42" t="s">
        <v>1</v>
      </c>
      <c r="F170" s="41">
        <v>2</v>
      </c>
      <c r="G170" s="52" t="str">
        <f>HYPERLINK("https://bluetooth.atlassian.net/browse/ES-19181","19181")</f>
        <v>19181</v>
      </c>
      <c r="H170" s="41" t="s">
        <v>995</v>
      </c>
    </row>
    <row r="171" spans="1:8" ht="15" customHeight="1" x14ac:dyDescent="0.7">
      <c r="A171" s="43">
        <v>17456</v>
      </c>
      <c r="B171" s="44" t="s">
        <v>962</v>
      </c>
      <c r="C171" s="44" t="s">
        <v>996</v>
      </c>
      <c r="D171" s="44" t="s">
        <v>307</v>
      </c>
      <c r="E171" s="45" t="s">
        <v>1</v>
      </c>
      <c r="F171" s="44">
        <v>4</v>
      </c>
      <c r="G171" s="50" t="str">
        <f>HYPERLINK("https://bluetooth.atlassian.net/browse/ES-17450","17450")</f>
        <v>17450</v>
      </c>
      <c r="H171" s="44" t="s">
        <v>997</v>
      </c>
    </row>
    <row r="172" spans="1:8" ht="30" customHeight="1" x14ac:dyDescent="0.7">
      <c r="A172" s="40" t="str">
        <f>HYPERLINK("https://bluetooth.atlassian.net/browse/ES-17451","17451")</f>
        <v>17451</v>
      </c>
      <c r="B172" s="41" t="s">
        <v>962</v>
      </c>
      <c r="C172" s="41" t="s">
        <v>998</v>
      </c>
      <c r="D172" s="41" t="s">
        <v>307</v>
      </c>
      <c r="E172" s="42" t="s">
        <v>2</v>
      </c>
      <c r="F172" s="41"/>
      <c r="G172" s="46"/>
      <c r="H172" s="41"/>
    </row>
    <row r="173" spans="1:8" ht="15.75" customHeight="1" x14ac:dyDescent="0.7">
      <c r="A173" s="43" t="str">
        <f>HYPERLINK("https://bluetooth.atlassian.net/browse/ES-20430","20430")</f>
        <v>20430</v>
      </c>
      <c r="B173" s="44" t="s">
        <v>962</v>
      </c>
      <c r="C173" s="44" t="s">
        <v>999</v>
      </c>
      <c r="D173" s="44" t="s">
        <v>307</v>
      </c>
      <c r="E173" s="45" t="s">
        <v>2</v>
      </c>
      <c r="F173" s="44"/>
      <c r="G173" s="49"/>
      <c r="H173" s="44"/>
    </row>
    <row r="174" spans="1:8" ht="20.25" customHeight="1" x14ac:dyDescent="0.7">
      <c r="A174" s="40" t="str">
        <f>HYPERLINK("https://bluetooth.atlassian.net/browse/ES-17064","17064")</f>
        <v>17064</v>
      </c>
      <c r="B174" s="41" t="s">
        <v>1000</v>
      </c>
      <c r="C174" s="41" t="s">
        <v>1001</v>
      </c>
      <c r="D174" s="41" t="s">
        <v>304</v>
      </c>
      <c r="E174" s="42" t="s">
        <v>2</v>
      </c>
      <c r="F174" s="41"/>
      <c r="G174" s="46"/>
      <c r="H174" s="41"/>
    </row>
    <row r="175" spans="1:8" ht="20.25" customHeight="1" x14ac:dyDescent="0.7">
      <c r="A175" s="43" t="str">
        <f>HYPERLINK("https://bluetooth.atlassian.net/browse/ES-17462","17462")</f>
        <v>17462</v>
      </c>
      <c r="B175" s="44" t="s">
        <v>1002</v>
      </c>
      <c r="C175" s="44" t="s">
        <v>1003</v>
      </c>
      <c r="D175" s="44" t="s">
        <v>305</v>
      </c>
      <c r="E175" s="45" t="s">
        <v>1</v>
      </c>
      <c r="F175" s="116">
        <v>4</v>
      </c>
      <c r="G175" s="50" t="str">
        <f>HYPERLINK("https://bluetooth.atlassian.net/browse/ES-19110","19110")</f>
        <v>19110</v>
      </c>
      <c r="H175" s="116" t="s">
        <v>1767</v>
      </c>
    </row>
    <row r="176" spans="1:8" ht="15.75" customHeight="1" x14ac:dyDescent="0.7">
      <c r="A176" s="40">
        <v>18002</v>
      </c>
      <c r="B176" s="41" t="s">
        <v>1002</v>
      </c>
      <c r="C176" s="41" t="s">
        <v>1004</v>
      </c>
      <c r="D176" s="41" t="s">
        <v>307</v>
      </c>
      <c r="E176" s="42" t="s">
        <v>1</v>
      </c>
      <c r="F176" s="41">
        <v>2</v>
      </c>
      <c r="G176" s="52" t="str">
        <f>HYPERLINK("https://bluetooth.atlassian.net/browse/ES-19272","19272")</f>
        <v>19272</v>
      </c>
      <c r="H176" s="41" t="s">
        <v>1005</v>
      </c>
    </row>
    <row r="177" spans="1:8" ht="40.5" customHeight="1" x14ac:dyDescent="0.7">
      <c r="A177" s="43" t="str">
        <f>HYPERLINK("https://bluetooth.atlassian.net/browse/ES-18001","18001")</f>
        <v>18001</v>
      </c>
      <c r="B177" s="44" t="s">
        <v>1002</v>
      </c>
      <c r="C177" s="44" t="s">
        <v>1006</v>
      </c>
      <c r="D177" s="44" t="s">
        <v>307</v>
      </c>
      <c r="E177" s="45" t="s">
        <v>2</v>
      </c>
      <c r="F177" s="44"/>
      <c r="G177" s="49"/>
      <c r="H177" s="44"/>
    </row>
    <row r="178" spans="1:8" ht="15.75" customHeight="1" x14ac:dyDescent="0.7">
      <c r="A178" s="40" t="str">
        <f>HYPERLINK("https://bluetooth.atlassian.net/browse/ES-17042","17042")</f>
        <v>17042</v>
      </c>
      <c r="B178" s="41" t="s">
        <v>141</v>
      </c>
      <c r="C178" s="41" t="s">
        <v>1007</v>
      </c>
      <c r="D178" s="41" t="s">
        <v>304</v>
      </c>
      <c r="E178" s="42" t="s">
        <v>2</v>
      </c>
      <c r="F178" s="41"/>
      <c r="G178" s="46"/>
      <c r="H178" s="41"/>
    </row>
    <row r="179" spans="1:8" ht="28.5" customHeight="1" x14ac:dyDescent="0.7">
      <c r="A179" s="43" t="str">
        <f>HYPERLINK("https://bluetooth.atlassian.net/browse/ES-15248","15248")</f>
        <v>15248</v>
      </c>
      <c r="B179" s="44" t="s">
        <v>141</v>
      </c>
      <c r="C179" s="44" t="s">
        <v>1008</v>
      </c>
      <c r="D179" s="44" t="s">
        <v>307</v>
      </c>
      <c r="E179" s="45" t="s">
        <v>2</v>
      </c>
      <c r="F179" s="44"/>
      <c r="G179" s="49"/>
      <c r="H179" s="44"/>
    </row>
    <row r="180" spans="1:8" ht="15.75" customHeight="1" x14ac:dyDescent="0.7">
      <c r="A180" s="40" t="str">
        <f>HYPERLINK("https://bluetooth.atlassian.net/browse/ES-17849","17849")</f>
        <v>17849</v>
      </c>
      <c r="B180" s="41" t="s">
        <v>1009</v>
      </c>
      <c r="C180" s="41" t="s">
        <v>1010</v>
      </c>
      <c r="D180" s="41" t="s">
        <v>204</v>
      </c>
      <c r="E180" s="42" t="s">
        <v>2</v>
      </c>
      <c r="F180" s="41"/>
      <c r="G180" s="46"/>
      <c r="H180" s="41"/>
    </row>
    <row r="181" spans="1:8" ht="15.75" customHeight="1" x14ac:dyDescent="0.7">
      <c r="A181" s="43" t="str">
        <f>HYPERLINK("https://bluetooth.atlassian.net/browse/ES-17468","17468")</f>
        <v>17468</v>
      </c>
      <c r="B181" s="44" t="s">
        <v>1009</v>
      </c>
      <c r="C181" s="44" t="s">
        <v>1011</v>
      </c>
      <c r="D181" s="44" t="s">
        <v>304</v>
      </c>
      <c r="E181" s="45" t="s">
        <v>2</v>
      </c>
      <c r="F181" s="44"/>
      <c r="G181" s="49"/>
      <c r="H181" s="44"/>
    </row>
    <row r="182" spans="1:8" ht="25.5" customHeight="1" x14ac:dyDescent="0.7">
      <c r="A182" s="40" t="str">
        <f>HYPERLINK("https://bluetooth.atlassian.net/browse/ES-17319","17319")</f>
        <v>17319</v>
      </c>
      <c r="B182" s="41" t="s">
        <v>1009</v>
      </c>
      <c r="C182" s="41" t="s">
        <v>1012</v>
      </c>
      <c r="D182" s="41" t="s">
        <v>310</v>
      </c>
      <c r="E182" s="42" t="s">
        <v>2</v>
      </c>
      <c r="F182" s="41"/>
      <c r="G182" s="46"/>
      <c r="H182" s="41"/>
    </row>
    <row r="183" spans="1:8" ht="15.75" customHeight="1" x14ac:dyDescent="0.7">
      <c r="A183" s="43" t="str">
        <f>HYPERLINK("https://bluetooth.atlassian.net/browse/ES-19054","19054")</f>
        <v>19054</v>
      </c>
      <c r="B183" s="44" t="s">
        <v>1009</v>
      </c>
      <c r="C183" s="44" t="s">
        <v>1013</v>
      </c>
      <c r="D183" s="44" t="s">
        <v>307</v>
      </c>
      <c r="E183" s="45" t="s">
        <v>2</v>
      </c>
      <c r="F183" s="44"/>
      <c r="G183" s="49"/>
      <c r="H183" s="44"/>
    </row>
    <row r="184" spans="1:8" ht="15.75" customHeight="1" x14ac:dyDescent="0.7">
      <c r="A184" s="40" t="str">
        <f>HYPERLINK("https://bluetooth.atlassian.net/browse/ES-18341","18341")</f>
        <v>18341</v>
      </c>
      <c r="B184" s="41" t="s">
        <v>1009</v>
      </c>
      <c r="C184" s="41" t="s">
        <v>1014</v>
      </c>
      <c r="D184" s="41" t="s">
        <v>307</v>
      </c>
      <c r="E184" s="42" t="s">
        <v>1</v>
      </c>
      <c r="F184" s="41">
        <v>3</v>
      </c>
      <c r="G184" s="52" t="str">
        <f>HYPERLINK("https://bluetooth.atlassian.net/browse/ES-17703","17703")</f>
        <v>17703</v>
      </c>
      <c r="H184" s="41" t="s">
        <v>1770</v>
      </c>
    </row>
    <row r="185" spans="1:8" ht="39" customHeight="1" x14ac:dyDescent="0.7">
      <c r="A185" s="43" t="str">
        <f>HYPERLINK("https://bluetooth.atlassian.net/browse/ES-18303","18303")</f>
        <v>18303</v>
      </c>
      <c r="B185" s="44" t="s">
        <v>1009</v>
      </c>
      <c r="C185" s="44" t="s">
        <v>1015</v>
      </c>
      <c r="D185" s="44" t="s">
        <v>307</v>
      </c>
      <c r="E185" s="45" t="s">
        <v>1</v>
      </c>
      <c r="F185" s="44"/>
      <c r="G185" s="50" t="str">
        <f>HYPERLINK("https://bluetooth.atlassian.net/browse/ES-18351","18351")</f>
        <v>18351</v>
      </c>
      <c r="H185" s="44" t="s">
        <v>1771</v>
      </c>
    </row>
    <row r="186" spans="1:8" ht="15.75" customHeight="1" x14ac:dyDescent="0.7">
      <c r="A186" s="40" t="str">
        <f>HYPERLINK("https://bluetooth.atlassian.net/browse/ES-17580","17580")</f>
        <v>17580</v>
      </c>
      <c r="B186" s="41" t="s">
        <v>1009</v>
      </c>
      <c r="C186" s="41" t="s">
        <v>1016</v>
      </c>
      <c r="D186" s="41" t="s">
        <v>307</v>
      </c>
      <c r="E186" s="42" t="s">
        <v>2</v>
      </c>
      <c r="F186" s="41"/>
      <c r="G186" s="46"/>
      <c r="H186" s="41"/>
    </row>
    <row r="187" spans="1:8" ht="14.25" customHeight="1" x14ac:dyDescent="0.7">
      <c r="A187" s="43" t="str">
        <f>HYPERLINK("https://bluetooth.atlassian.net/browse/ES-17560","17560")</f>
        <v>17560</v>
      </c>
      <c r="B187" s="44" t="s">
        <v>1009</v>
      </c>
      <c r="C187" s="44" t="s">
        <v>1017</v>
      </c>
      <c r="D187" s="44" t="s">
        <v>307</v>
      </c>
      <c r="E187" s="45" t="s">
        <v>2</v>
      </c>
      <c r="F187" s="44"/>
      <c r="G187" s="49"/>
      <c r="H187" s="44"/>
    </row>
    <row r="188" spans="1:8" ht="15.75" customHeight="1" x14ac:dyDescent="0.7">
      <c r="A188" s="40" t="str">
        <f>HYPERLINK("https://bluetooth.atlassian.net/browse/ES-17464","17464")</f>
        <v>17464</v>
      </c>
      <c r="B188" s="41" t="s">
        <v>1009</v>
      </c>
      <c r="C188" s="41" t="s">
        <v>1018</v>
      </c>
      <c r="D188" s="41" t="s">
        <v>307</v>
      </c>
      <c r="E188" s="42" t="s">
        <v>2</v>
      </c>
      <c r="F188" s="41"/>
      <c r="G188" s="46"/>
      <c r="H188" s="41"/>
    </row>
    <row r="189" spans="1:8" ht="16.5" customHeight="1" x14ac:dyDescent="0.7">
      <c r="A189" s="43" t="str">
        <f>HYPERLINK("https://bluetooth.atlassian.net/browse/ES-17548","17548")</f>
        <v>17548</v>
      </c>
      <c r="B189" s="44" t="s">
        <v>1019</v>
      </c>
      <c r="C189" s="44" t="s">
        <v>1020</v>
      </c>
      <c r="D189" s="44" t="s">
        <v>304</v>
      </c>
      <c r="E189" s="45" t="s">
        <v>2</v>
      </c>
      <c r="F189" s="44"/>
      <c r="G189" s="49"/>
      <c r="H189" s="44"/>
    </row>
    <row r="190" spans="1:8" ht="18" customHeight="1" x14ac:dyDescent="0.7">
      <c r="A190" s="40" t="str">
        <f>HYPERLINK("https://bluetooth.atlassian.net/browse/ES-17440","17440")</f>
        <v>17440</v>
      </c>
      <c r="B190" s="41" t="s">
        <v>1021</v>
      </c>
      <c r="C190" s="41" t="s">
        <v>1022</v>
      </c>
      <c r="D190" s="41" t="s">
        <v>304</v>
      </c>
      <c r="E190" s="42" t="s">
        <v>2</v>
      </c>
      <c r="F190" s="41"/>
      <c r="G190" s="46"/>
      <c r="H190" s="41"/>
    </row>
    <row r="191" spans="1:8" ht="15.75" customHeight="1" x14ac:dyDescent="0.7">
      <c r="A191" s="43" t="str">
        <f>HYPERLINK("https://bluetooth.atlassian.net/browse/ES-17616","17616")</f>
        <v>17616</v>
      </c>
      <c r="B191" s="44" t="s">
        <v>1021</v>
      </c>
      <c r="C191" s="44" t="s">
        <v>1023</v>
      </c>
      <c r="D191" s="44" t="s">
        <v>305</v>
      </c>
      <c r="E191" s="45" t="s">
        <v>2</v>
      </c>
      <c r="F191" s="44"/>
      <c r="G191" s="49"/>
      <c r="H191" s="44"/>
    </row>
    <row r="192" spans="1:8" ht="15.75" customHeight="1" x14ac:dyDescent="0.7">
      <c r="A192" s="40" t="str">
        <f>HYPERLINK("https://bluetooth.atlassian.net/browse/ES-16878","16878")</f>
        <v>16878</v>
      </c>
      <c r="B192" s="41" t="s">
        <v>1024</v>
      </c>
      <c r="C192" s="41" t="s">
        <v>1025</v>
      </c>
      <c r="D192" s="41" t="s">
        <v>307</v>
      </c>
      <c r="E192" s="42" t="s">
        <v>2</v>
      </c>
      <c r="F192" s="41"/>
      <c r="G192" s="46"/>
      <c r="H192" s="41"/>
    </row>
    <row r="193" spans="1:8" ht="24" customHeight="1" x14ac:dyDescent="0.7">
      <c r="A193" s="43">
        <v>19151</v>
      </c>
      <c r="B193" s="44" t="s">
        <v>1026</v>
      </c>
      <c r="C193" s="44" t="s">
        <v>1027</v>
      </c>
      <c r="D193" s="44" t="s">
        <v>304</v>
      </c>
      <c r="E193" s="45" t="s">
        <v>1</v>
      </c>
      <c r="F193" s="44">
        <v>4</v>
      </c>
      <c r="G193" s="50" t="str">
        <f>HYPERLINK("https://bluetooth.atlassian.net/browse/ES-19293","19293")</f>
        <v>19293</v>
      </c>
      <c r="H193" s="44" t="s">
        <v>1028</v>
      </c>
    </row>
    <row r="194" spans="1:8" ht="25.5" customHeight="1" x14ac:dyDescent="0.7">
      <c r="A194" s="40" t="str">
        <f>HYPERLINK("https://bluetooth.atlassian.net/browse/ES-17971","17971")</f>
        <v>17971</v>
      </c>
      <c r="B194" s="41" t="s">
        <v>1026</v>
      </c>
      <c r="C194" s="41" t="s">
        <v>1029</v>
      </c>
      <c r="D194" s="41" t="s">
        <v>304</v>
      </c>
      <c r="E194" s="42" t="s">
        <v>2</v>
      </c>
      <c r="F194" s="41"/>
      <c r="G194" s="46"/>
      <c r="H194" s="41"/>
    </row>
    <row r="195" spans="1:8" ht="18.75" customHeight="1" x14ac:dyDescent="0.7">
      <c r="A195" s="43">
        <v>17702</v>
      </c>
      <c r="B195" s="44" t="s">
        <v>1026</v>
      </c>
      <c r="C195" s="44" t="s">
        <v>1030</v>
      </c>
      <c r="D195" s="44" t="s">
        <v>304</v>
      </c>
      <c r="E195" s="45" t="s">
        <v>1</v>
      </c>
      <c r="F195" s="44">
        <v>1</v>
      </c>
      <c r="G195" s="50" t="str">
        <f>HYPERLINK("https://bluetooth.atlassian.net/browse/ES-17760","17760")</f>
        <v>17760</v>
      </c>
      <c r="H195" s="44" t="s">
        <v>1031</v>
      </c>
    </row>
    <row r="196" spans="1:8" ht="15.75" customHeight="1" x14ac:dyDescent="0.7">
      <c r="A196" s="40" t="str">
        <f>HYPERLINK("https://bluetooth.atlassian.net/browse/ES-17531","17531")</f>
        <v>17531</v>
      </c>
      <c r="B196" s="41" t="s">
        <v>1026</v>
      </c>
      <c r="C196" s="41" t="s">
        <v>1032</v>
      </c>
      <c r="D196" s="41" t="s">
        <v>304</v>
      </c>
      <c r="E196" s="42" t="s">
        <v>2</v>
      </c>
      <c r="F196" s="41"/>
      <c r="G196" s="46"/>
      <c r="H196" s="41"/>
    </row>
    <row r="197" spans="1:8" ht="15.75" customHeight="1" x14ac:dyDescent="0.7">
      <c r="A197" s="43" t="str">
        <f>HYPERLINK("https://bluetooth.atlassian.net/browse/ES-17234","17234")</f>
        <v>17234</v>
      </c>
      <c r="B197" s="44" t="s">
        <v>1026</v>
      </c>
      <c r="C197" s="44" t="s">
        <v>1033</v>
      </c>
      <c r="D197" s="44" t="s">
        <v>304</v>
      </c>
      <c r="E197" s="45" t="s">
        <v>2</v>
      </c>
      <c r="F197" s="44"/>
      <c r="G197" s="49"/>
      <c r="H197" s="44"/>
    </row>
    <row r="198" spans="1:8" ht="25.5" customHeight="1" x14ac:dyDescent="0.7">
      <c r="A198" s="40" t="str">
        <f>HYPERLINK("https://bluetooth.atlassian.net/browse/ES-18267","18267")</f>
        <v>18267</v>
      </c>
      <c r="B198" s="41" t="s">
        <v>1026</v>
      </c>
      <c r="C198" s="41" t="s">
        <v>1034</v>
      </c>
      <c r="D198" s="41" t="s">
        <v>310</v>
      </c>
      <c r="E198" s="42" t="s">
        <v>2</v>
      </c>
      <c r="F198" s="41"/>
      <c r="G198" s="46"/>
      <c r="H198" s="41"/>
    </row>
    <row r="199" spans="1:8" ht="28.5" customHeight="1" x14ac:dyDescent="0.7">
      <c r="A199" s="43">
        <v>17583</v>
      </c>
      <c r="B199" s="44" t="s">
        <v>1026</v>
      </c>
      <c r="C199" s="44" t="s">
        <v>1035</v>
      </c>
      <c r="D199" s="44" t="s">
        <v>310</v>
      </c>
      <c r="E199" s="45" t="s">
        <v>1</v>
      </c>
      <c r="F199" s="44">
        <v>4</v>
      </c>
      <c r="G199" s="50" t="str">
        <f>HYPERLINK("https://bluetooth.atlassian.net/browse/ES-18222","18222")</f>
        <v>18222</v>
      </c>
      <c r="H199" s="44" t="s">
        <v>1036</v>
      </c>
    </row>
    <row r="200" spans="1:8" ht="15.75" customHeight="1" x14ac:dyDescent="0.7">
      <c r="A200" s="40" t="str">
        <f>HYPERLINK("https://bluetooth.atlassian.net/browse/ES-20482","20482")</f>
        <v>20482</v>
      </c>
      <c r="B200" s="41" t="s">
        <v>1026</v>
      </c>
      <c r="C200" s="41" t="s">
        <v>1037</v>
      </c>
      <c r="D200" s="41" t="s">
        <v>310</v>
      </c>
      <c r="E200" s="42" t="s">
        <v>1</v>
      </c>
      <c r="F200" s="41">
        <v>4</v>
      </c>
      <c r="G200" s="52" t="str">
        <f>HYPERLINK("https://bluetooth.atlassian.net/browse/ES-20663","20663")</f>
        <v>20663</v>
      </c>
      <c r="H200" s="41" t="s">
        <v>1038</v>
      </c>
    </row>
    <row r="201" spans="1:8" ht="15.75" customHeight="1" x14ac:dyDescent="0.7">
      <c r="A201" s="43" t="str">
        <f>HYPERLINK("https://bluetooth.atlassian.net/browse/ES-19149","19149")</f>
        <v>19149</v>
      </c>
      <c r="B201" s="44" t="s">
        <v>1026</v>
      </c>
      <c r="C201" s="44" t="s">
        <v>1039</v>
      </c>
      <c r="D201" s="44" t="s">
        <v>305</v>
      </c>
      <c r="E201" s="45" t="s">
        <v>2</v>
      </c>
      <c r="F201" s="44"/>
      <c r="G201" s="49"/>
      <c r="H201" s="44"/>
    </row>
    <row r="202" spans="1:8" ht="15.75" customHeight="1" x14ac:dyDescent="0.7">
      <c r="A202" s="40" t="str">
        <f>HYPERLINK("https://bluetooth.atlassian.net/browse/ES-18555","18555")</f>
        <v>18555</v>
      </c>
      <c r="B202" s="41" t="s">
        <v>1026</v>
      </c>
      <c r="C202" s="41" t="s">
        <v>1040</v>
      </c>
      <c r="D202" s="41" t="s">
        <v>305</v>
      </c>
      <c r="E202" s="42" t="s">
        <v>2</v>
      </c>
      <c r="F202" s="41"/>
      <c r="G202" s="46"/>
      <c r="H202" s="41"/>
    </row>
    <row r="203" spans="1:8" ht="22.5" customHeight="1" x14ac:dyDescent="0.7">
      <c r="A203" s="43">
        <v>18456</v>
      </c>
      <c r="B203" s="44" t="s">
        <v>1026</v>
      </c>
      <c r="C203" s="44" t="s">
        <v>1041</v>
      </c>
      <c r="D203" s="44" t="s">
        <v>305</v>
      </c>
      <c r="E203" s="45" t="s">
        <v>1</v>
      </c>
      <c r="F203" s="44">
        <v>2</v>
      </c>
      <c r="G203" s="50" t="str">
        <f>HYPERLINK("https://bluetooth.atlassian.net/browse/ES-18448","18448")</f>
        <v>18448</v>
      </c>
      <c r="H203" s="44" t="s">
        <v>1042</v>
      </c>
    </row>
    <row r="204" spans="1:8" ht="15.75" customHeight="1" x14ac:dyDescent="0.7">
      <c r="A204" s="40" t="str">
        <f>HYPERLINK("https://bluetooth.atlassian.net/browse/ES-18233","18233")</f>
        <v>18233</v>
      </c>
      <c r="B204" s="41" t="s">
        <v>1026</v>
      </c>
      <c r="C204" s="41" t="s">
        <v>1043</v>
      </c>
      <c r="D204" s="41" t="s">
        <v>305</v>
      </c>
      <c r="E204" s="42" t="s">
        <v>2</v>
      </c>
      <c r="F204" s="41"/>
      <c r="G204" s="46"/>
      <c r="H204" s="41"/>
    </row>
    <row r="205" spans="1:8" ht="15.75" customHeight="1" x14ac:dyDescent="0.7">
      <c r="A205" s="43" t="str">
        <f>HYPERLINK("https://bluetooth.atlassian.net/browse/ES-18100","18100")</f>
        <v>18100</v>
      </c>
      <c r="B205" s="44" t="s">
        <v>1026</v>
      </c>
      <c r="C205" s="44" t="s">
        <v>1044</v>
      </c>
      <c r="D205" s="44" t="s">
        <v>305</v>
      </c>
      <c r="E205" s="45" t="s">
        <v>1</v>
      </c>
      <c r="F205" s="44"/>
      <c r="G205" s="50" t="str">
        <f>HYPERLINK("https://bluetooth.atlassian.net/browse/ES-19103","19103")</f>
        <v>19103</v>
      </c>
      <c r="H205" s="44" t="s">
        <v>1045</v>
      </c>
    </row>
    <row r="206" spans="1:8" ht="15.75" customHeight="1" x14ac:dyDescent="0.7">
      <c r="A206" s="40">
        <v>17433</v>
      </c>
      <c r="B206" s="41" t="s">
        <v>1026</v>
      </c>
      <c r="C206" s="41" t="s">
        <v>1046</v>
      </c>
      <c r="D206" s="41" t="s">
        <v>305</v>
      </c>
      <c r="E206" s="42" t="s">
        <v>1</v>
      </c>
      <c r="F206" s="41">
        <v>2</v>
      </c>
      <c r="G206" s="52" t="str">
        <f>HYPERLINK("https://bluetooth.atlassian.net/browse/ES-17516","17516")</f>
        <v>17516</v>
      </c>
      <c r="H206" s="41" t="s">
        <v>1047</v>
      </c>
    </row>
    <row r="207" spans="1:8" ht="27.75" customHeight="1" x14ac:dyDescent="0.7">
      <c r="A207" s="43" t="str">
        <f>HYPERLINK("https://bluetooth.atlassian.net/browse/ES-17361","17361")</f>
        <v>17361</v>
      </c>
      <c r="B207" s="44" t="s">
        <v>1026</v>
      </c>
      <c r="C207" s="44" t="s">
        <v>1048</v>
      </c>
      <c r="D207" s="44" t="s">
        <v>305</v>
      </c>
      <c r="E207" s="45" t="s">
        <v>2</v>
      </c>
      <c r="F207" s="44"/>
      <c r="G207" s="49"/>
      <c r="H207" s="44"/>
    </row>
    <row r="208" spans="1:8" ht="17.25" customHeight="1" x14ac:dyDescent="0.7">
      <c r="A208" s="40">
        <v>17356</v>
      </c>
      <c r="B208" s="41" t="s">
        <v>1026</v>
      </c>
      <c r="C208" s="41" t="s">
        <v>1049</v>
      </c>
      <c r="D208" s="41" t="s">
        <v>305</v>
      </c>
      <c r="E208" s="42" t="s">
        <v>1</v>
      </c>
      <c r="F208" s="41">
        <v>1</v>
      </c>
      <c r="G208" s="52" t="str">
        <f>HYPERLINK("https://bluetooth.atlassian.net/browse/ES-17384","17384")</f>
        <v>17384</v>
      </c>
      <c r="H208" s="41" t="s">
        <v>1050</v>
      </c>
    </row>
    <row r="209" spans="1:8" ht="15.75" customHeight="1" x14ac:dyDescent="0.7">
      <c r="A209" s="43" t="str">
        <f>HYPERLINK("https://bluetooth.atlassian.net/browse/ES-20624","20624")</f>
        <v>20624</v>
      </c>
      <c r="B209" s="44" t="s">
        <v>1026</v>
      </c>
      <c r="C209" s="44" t="s">
        <v>1051</v>
      </c>
      <c r="D209" s="44" t="s">
        <v>305</v>
      </c>
      <c r="E209" s="45" t="s">
        <v>2</v>
      </c>
      <c r="F209" s="44"/>
      <c r="G209" s="49"/>
      <c r="H209" s="44"/>
    </row>
    <row r="210" spans="1:8" ht="25.5" customHeight="1" x14ac:dyDescent="0.7">
      <c r="A210" s="40" t="str">
        <f>HYPERLINK("https://bluetooth.atlassian.net/browse/ES-20499","20499")</f>
        <v>20499</v>
      </c>
      <c r="B210" s="41" t="s">
        <v>1026</v>
      </c>
      <c r="C210" s="41" t="s">
        <v>1052</v>
      </c>
      <c r="D210" s="41" t="s">
        <v>305</v>
      </c>
      <c r="E210" s="42" t="s">
        <v>2</v>
      </c>
      <c r="F210" s="41"/>
      <c r="G210" s="46"/>
      <c r="H210" s="41"/>
    </row>
    <row r="211" spans="1:8" ht="15.75" customHeight="1" x14ac:dyDescent="0.7">
      <c r="A211" s="43" t="str">
        <f>HYPERLINK("https://bluetooth.atlassian.net/browse/ES-20447","20447")</f>
        <v>20447</v>
      </c>
      <c r="B211" s="44" t="s">
        <v>1026</v>
      </c>
      <c r="C211" s="44" t="s">
        <v>1053</v>
      </c>
      <c r="D211" s="44" t="s">
        <v>305</v>
      </c>
      <c r="E211" s="45" t="s">
        <v>2</v>
      </c>
      <c r="F211" s="44"/>
      <c r="G211" s="49"/>
      <c r="H211" s="44"/>
    </row>
    <row r="212" spans="1:8" ht="17.25" customHeight="1" x14ac:dyDescent="0.7">
      <c r="A212" s="40" t="str">
        <f>HYPERLINK("https://bluetooth.atlassian.net/browse/ES-20401","20401")</f>
        <v>20401</v>
      </c>
      <c r="B212" s="41" t="s">
        <v>1026</v>
      </c>
      <c r="C212" s="41" t="s">
        <v>1054</v>
      </c>
      <c r="D212" s="41" t="s">
        <v>305</v>
      </c>
      <c r="E212" s="42" t="s">
        <v>1</v>
      </c>
      <c r="F212" s="41">
        <v>2</v>
      </c>
      <c r="G212" s="52" t="str">
        <f>HYPERLINK("https://bluetooth.atlassian.net/browse/ES-20383","20383")</f>
        <v>20383</v>
      </c>
      <c r="H212" s="41" t="s">
        <v>1055</v>
      </c>
    </row>
    <row r="213" spans="1:8" ht="15.75" customHeight="1" x14ac:dyDescent="0.7">
      <c r="A213" s="43" t="str">
        <f>HYPERLINK("https://bluetooth.atlassian.net/browse/ES-19163","19163")</f>
        <v>19163</v>
      </c>
      <c r="B213" s="44" t="s">
        <v>1026</v>
      </c>
      <c r="C213" s="44" t="s">
        <v>1056</v>
      </c>
      <c r="D213" s="44" t="s">
        <v>307</v>
      </c>
      <c r="E213" s="45" t="s">
        <v>1</v>
      </c>
      <c r="F213" s="44">
        <v>2</v>
      </c>
      <c r="G213" s="50" t="str">
        <f>HYPERLINK("https://bluetooth.atlassian.net/browse/ES-19193","19193")</f>
        <v>19193</v>
      </c>
      <c r="H213" s="44" t="s">
        <v>1057</v>
      </c>
    </row>
    <row r="214" spans="1:8" ht="15.75" customHeight="1" x14ac:dyDescent="0.7">
      <c r="A214" s="40" t="str">
        <f>HYPERLINK("https://bluetooth.atlassian.net/browse/ES-18476","18476")</f>
        <v>18476</v>
      </c>
      <c r="B214" s="41" t="s">
        <v>1026</v>
      </c>
      <c r="C214" s="41" t="s">
        <v>1058</v>
      </c>
      <c r="D214" s="41" t="s">
        <v>307</v>
      </c>
      <c r="E214" s="42" t="s">
        <v>1</v>
      </c>
      <c r="F214" s="41">
        <v>1</v>
      </c>
      <c r="G214" s="52" t="str">
        <f>HYPERLINK("https://bluetooth.atlassian.net/browse/ES-18474","18474")</f>
        <v>18474</v>
      </c>
      <c r="H214" s="41" t="s">
        <v>1059</v>
      </c>
    </row>
    <row r="215" spans="1:8" ht="15.75" customHeight="1" x14ac:dyDescent="0.7">
      <c r="A215" s="43" t="str">
        <f>HYPERLINK("https://bluetooth.atlassian.net/browse/ES-18070","18070")</f>
        <v>18070</v>
      </c>
      <c r="B215" s="44" t="s">
        <v>1026</v>
      </c>
      <c r="C215" s="44" t="s">
        <v>1060</v>
      </c>
      <c r="D215" s="44" t="s">
        <v>307</v>
      </c>
      <c r="E215" s="45" t="s">
        <v>2</v>
      </c>
      <c r="F215" s="44"/>
      <c r="G215" s="49"/>
      <c r="H215" s="44"/>
    </row>
    <row r="216" spans="1:8" ht="26.25" customHeight="1" x14ac:dyDescent="0.7">
      <c r="A216" s="40" t="str">
        <f>HYPERLINK("https://bluetooth.atlassian.net/browse/ES-17509","17509")</f>
        <v>17509</v>
      </c>
      <c r="B216" s="41" t="s">
        <v>1026</v>
      </c>
      <c r="C216" s="41" t="s">
        <v>1061</v>
      </c>
      <c r="D216" s="41" t="s">
        <v>307</v>
      </c>
      <c r="E216" s="42" t="s">
        <v>2</v>
      </c>
      <c r="F216" s="41"/>
      <c r="G216" s="46"/>
      <c r="H216" s="41"/>
    </row>
    <row r="217" spans="1:8" ht="15.75" customHeight="1" x14ac:dyDescent="0.7">
      <c r="A217" s="43" t="str">
        <f>HYPERLINK("https://bluetooth.atlassian.net/browse/ES-17390","17390")</f>
        <v>17390</v>
      </c>
      <c r="B217" s="44" t="s">
        <v>1026</v>
      </c>
      <c r="C217" s="44" t="s">
        <v>1062</v>
      </c>
      <c r="D217" s="44" t="s">
        <v>307</v>
      </c>
      <c r="E217" s="45" t="s">
        <v>2</v>
      </c>
      <c r="F217" s="44"/>
      <c r="G217" s="49"/>
      <c r="H217" s="44"/>
    </row>
    <row r="218" spans="1:8" ht="15.75" customHeight="1" x14ac:dyDescent="0.7">
      <c r="A218" s="40">
        <v>17352</v>
      </c>
      <c r="B218" s="41" t="s">
        <v>1026</v>
      </c>
      <c r="C218" s="41" t="s">
        <v>1063</v>
      </c>
      <c r="D218" s="41" t="s">
        <v>307</v>
      </c>
      <c r="E218" s="42" t="s">
        <v>1</v>
      </c>
      <c r="F218" s="41">
        <v>2</v>
      </c>
      <c r="G218" s="52" t="str">
        <f>HYPERLINK("https://bluetooth.atlassian.net/browse/ES-17378","17378")</f>
        <v>17378</v>
      </c>
      <c r="H218" s="41" t="s">
        <v>1064</v>
      </c>
    </row>
    <row r="219" spans="1:8" ht="15.75" customHeight="1" x14ac:dyDescent="0.7">
      <c r="A219" s="43">
        <v>17532</v>
      </c>
      <c r="B219" s="44" t="s">
        <v>1065</v>
      </c>
      <c r="C219" s="44" t="s">
        <v>1066</v>
      </c>
      <c r="D219" s="44" t="s">
        <v>307</v>
      </c>
      <c r="E219" s="45" t="s">
        <v>1</v>
      </c>
      <c r="F219" s="44">
        <v>4</v>
      </c>
      <c r="G219" s="50" t="str">
        <f>HYPERLINK("https://bluetooth.atlassian.net/browse/ES-19141","19141")</f>
        <v>19141</v>
      </c>
      <c r="H219" s="44" t="s">
        <v>1067</v>
      </c>
    </row>
    <row r="220" spans="1:8" ht="22.5" customHeight="1" x14ac:dyDescent="0.7">
      <c r="A220" s="40" t="str">
        <f>HYPERLINK("https://bluetooth.atlassian.net/browse/ES-16988","16988")</f>
        <v>16988</v>
      </c>
      <c r="B220" s="41" t="s">
        <v>1068</v>
      </c>
      <c r="C220" s="41" t="s">
        <v>1069</v>
      </c>
      <c r="D220" s="41" t="s">
        <v>305</v>
      </c>
      <c r="E220" s="42" t="s">
        <v>2</v>
      </c>
      <c r="F220" s="41"/>
      <c r="G220" s="46"/>
      <c r="H220" s="41"/>
    </row>
    <row r="221" spans="1:8" ht="15.75" customHeight="1" x14ac:dyDescent="0.7">
      <c r="A221" s="43" t="str">
        <f>HYPERLINK("https://bluetooth.atlassian.net/browse/ES-17925","17925")</f>
        <v>17925</v>
      </c>
      <c r="B221" s="44" t="s">
        <v>1070</v>
      </c>
      <c r="C221" s="44" t="s">
        <v>817</v>
      </c>
      <c r="D221" s="44" t="s">
        <v>304</v>
      </c>
      <c r="E221" s="45" t="s">
        <v>2</v>
      </c>
      <c r="F221" s="44"/>
      <c r="G221" s="49"/>
      <c r="H221" s="44"/>
    </row>
    <row r="222" spans="1:8" ht="19.5" customHeight="1" x14ac:dyDescent="0.7">
      <c r="A222" s="40" t="str">
        <f>HYPERLINK("https://bluetooth.atlassian.net/browse/ES-17332","17332")</f>
        <v>17332</v>
      </c>
      <c r="B222" s="41" t="s">
        <v>1070</v>
      </c>
      <c r="C222" s="41" t="s">
        <v>1071</v>
      </c>
      <c r="D222" s="41" t="s">
        <v>304</v>
      </c>
      <c r="E222" s="42" t="s">
        <v>2</v>
      </c>
      <c r="F222" s="41"/>
      <c r="G222" s="46"/>
      <c r="H222" s="41"/>
    </row>
    <row r="223" spans="1:8" ht="15.75" customHeight="1" x14ac:dyDescent="0.7">
      <c r="A223" s="43" t="str">
        <f>HYPERLINK("https://bluetooth.atlassian.net/browse/ES-17307","17307")</f>
        <v>17307</v>
      </c>
      <c r="B223" s="44" t="s">
        <v>1070</v>
      </c>
      <c r="C223" s="44" t="s">
        <v>1072</v>
      </c>
      <c r="D223" s="44" t="s">
        <v>304</v>
      </c>
      <c r="E223" s="45" t="s">
        <v>2</v>
      </c>
      <c r="F223" s="44"/>
      <c r="G223" s="49"/>
      <c r="H223" s="44"/>
    </row>
    <row r="224" spans="1:8" ht="24" customHeight="1" x14ac:dyDescent="0.7">
      <c r="A224" s="40" t="str">
        <f>HYPERLINK("https://bluetooth.atlassian.net/browse/ES-20369","20369")</f>
        <v>20369</v>
      </c>
      <c r="B224" s="41" t="s">
        <v>1070</v>
      </c>
      <c r="C224" s="41" t="s">
        <v>1073</v>
      </c>
      <c r="D224" s="41" t="s">
        <v>304</v>
      </c>
      <c r="E224" s="42" t="s">
        <v>2</v>
      </c>
      <c r="F224" s="41"/>
      <c r="G224" s="46"/>
      <c r="H224" s="41"/>
    </row>
    <row r="225" spans="1:8" ht="24" customHeight="1" x14ac:dyDescent="0.7">
      <c r="A225" s="43" t="str">
        <f>HYPERLINK("https://bluetooth.atlassian.net/browse/ES-20476","20476")</f>
        <v>20476</v>
      </c>
      <c r="B225" s="44" t="s">
        <v>1070</v>
      </c>
      <c r="C225" s="44" t="s">
        <v>1074</v>
      </c>
      <c r="D225" s="44" t="s">
        <v>305</v>
      </c>
      <c r="E225" s="45" t="s">
        <v>2</v>
      </c>
      <c r="F225" s="44"/>
      <c r="G225" s="49"/>
      <c r="H225" s="44"/>
    </row>
    <row r="226" spans="1:8" ht="15.75" customHeight="1" x14ac:dyDescent="0.7">
      <c r="A226" s="40" t="str">
        <f>HYPERLINK("https://bluetooth.atlassian.net/browse/ES-19206","19206")</f>
        <v>19206</v>
      </c>
      <c r="B226" s="41" t="s">
        <v>1070</v>
      </c>
      <c r="C226" s="41" t="s">
        <v>1075</v>
      </c>
      <c r="D226" s="41" t="s">
        <v>307</v>
      </c>
      <c r="E226" s="42" t="s">
        <v>2</v>
      </c>
      <c r="F226" s="41"/>
      <c r="G226" s="46"/>
      <c r="H226" s="41"/>
    </row>
    <row r="227" spans="1:8" ht="15.75" customHeight="1" x14ac:dyDescent="0.7">
      <c r="A227" s="43" t="str">
        <f>HYPERLINK("https://bluetooth.atlassian.net/browse/ES-20357","20357")</f>
        <v>20357</v>
      </c>
      <c r="B227" s="44" t="s">
        <v>1070</v>
      </c>
      <c r="C227" s="44" t="s">
        <v>1076</v>
      </c>
      <c r="D227" s="44"/>
      <c r="E227" s="45" t="s">
        <v>2</v>
      </c>
      <c r="F227" s="44"/>
      <c r="G227" s="49"/>
      <c r="H227" s="44"/>
    </row>
    <row r="228" spans="1:8" ht="14.25" customHeight="1" x14ac:dyDescent="0.7">
      <c r="A228" s="40" t="str">
        <f>HYPERLINK("https://bluetooth.atlassian.net/browse/ES-18946","18946")</f>
        <v>18946</v>
      </c>
      <c r="B228" s="41" t="s">
        <v>1077</v>
      </c>
      <c r="C228" s="41" t="s">
        <v>1078</v>
      </c>
      <c r="D228" s="41" t="s">
        <v>304</v>
      </c>
      <c r="E228" s="42" t="s">
        <v>2</v>
      </c>
      <c r="F228" s="41"/>
      <c r="G228" s="46"/>
      <c r="H228" s="41"/>
    </row>
    <row r="229" spans="1:8" ht="15.75" customHeight="1" x14ac:dyDescent="0.7">
      <c r="A229" s="43" t="str">
        <f>HYPERLINK("https://bluetooth.atlassian.net/browse/ES-17249","17249")</f>
        <v>17249</v>
      </c>
      <c r="B229" s="44" t="s">
        <v>1079</v>
      </c>
      <c r="C229" s="44" t="s">
        <v>1080</v>
      </c>
      <c r="D229" s="44" t="s">
        <v>304</v>
      </c>
      <c r="E229" s="45" t="s">
        <v>2</v>
      </c>
      <c r="F229" s="44"/>
      <c r="G229" s="49"/>
      <c r="H229" s="44"/>
    </row>
    <row r="230" spans="1:8" ht="15.75" customHeight="1" x14ac:dyDescent="0.7">
      <c r="A230" s="40" t="str">
        <f>HYPERLINK("https://bluetooth.atlassian.net/browse/ES-17036","17036")</f>
        <v>17036</v>
      </c>
      <c r="B230" s="41" t="s">
        <v>1081</v>
      </c>
      <c r="C230" s="41" t="s">
        <v>1082</v>
      </c>
      <c r="D230" s="41" t="s">
        <v>304</v>
      </c>
      <c r="E230" s="42" t="s">
        <v>2</v>
      </c>
      <c r="F230" s="41"/>
      <c r="G230" s="46"/>
      <c r="H230" s="41"/>
    </row>
    <row r="231" spans="1:8" ht="15.75" customHeight="1" x14ac:dyDescent="0.7">
      <c r="A231" s="43" t="str">
        <f>HYPERLINK("https://bluetooth.atlassian.net/browse/ES-18460","18460")</f>
        <v>18460</v>
      </c>
      <c r="B231" s="44" t="s">
        <v>1083</v>
      </c>
      <c r="C231" s="44" t="s">
        <v>1084</v>
      </c>
      <c r="D231" s="44" t="s">
        <v>304</v>
      </c>
      <c r="E231" s="45" t="s">
        <v>2</v>
      </c>
      <c r="F231" s="44"/>
      <c r="G231" s="49"/>
      <c r="H231" s="44"/>
    </row>
    <row r="232" spans="1:8" ht="15.75" customHeight="1" x14ac:dyDescent="0.7">
      <c r="A232" s="40" t="str">
        <f>HYPERLINK("https://bluetooth.atlassian.net/browse/ES-18446","18446")</f>
        <v>18446</v>
      </c>
      <c r="B232" s="41" t="s">
        <v>1083</v>
      </c>
      <c r="C232" s="41" t="s">
        <v>1085</v>
      </c>
      <c r="D232" s="41" t="s">
        <v>304</v>
      </c>
      <c r="E232" s="42" t="s">
        <v>2</v>
      </c>
      <c r="F232" s="41"/>
      <c r="G232" s="46"/>
      <c r="H232" s="41"/>
    </row>
    <row r="233" spans="1:8" ht="23.25" customHeight="1" x14ac:dyDescent="0.7">
      <c r="A233" s="43" t="str">
        <f>HYPERLINK("https://bluetooth.atlassian.net/browse/ES-20636","20636")</f>
        <v>20636</v>
      </c>
      <c r="B233" s="44" t="s">
        <v>1083</v>
      </c>
      <c r="C233" s="44" t="s">
        <v>1086</v>
      </c>
      <c r="D233" s="44" t="s">
        <v>305</v>
      </c>
      <c r="E233" s="45" t="s">
        <v>2</v>
      </c>
      <c r="F233" s="44"/>
      <c r="G233" s="49"/>
      <c r="H233" s="44"/>
    </row>
    <row r="234" spans="1:8" ht="15.75" customHeight="1" x14ac:dyDescent="0.7">
      <c r="A234" s="40" t="str">
        <f>HYPERLINK("https://bluetooth.atlassian.net/browse/ES-18627","18627")</f>
        <v>18627</v>
      </c>
      <c r="B234" s="41" t="s">
        <v>1083</v>
      </c>
      <c r="C234" s="41" t="s">
        <v>1087</v>
      </c>
      <c r="D234" s="41" t="s">
        <v>307</v>
      </c>
      <c r="E234" s="42" t="s">
        <v>2</v>
      </c>
      <c r="F234" s="41"/>
      <c r="G234" s="46"/>
      <c r="H234" s="41"/>
    </row>
    <row r="235" spans="1:8" ht="15.75" customHeight="1" x14ac:dyDescent="0.7">
      <c r="A235" s="43" t="str">
        <f>HYPERLINK("https://bluetooth.atlassian.net/browse/ES-17034","17034")</f>
        <v>17034</v>
      </c>
      <c r="B235" s="44" t="s">
        <v>279</v>
      </c>
      <c r="C235" s="44" t="s">
        <v>1088</v>
      </c>
      <c r="D235" s="44" t="s">
        <v>304</v>
      </c>
      <c r="E235" s="45" t="s">
        <v>2</v>
      </c>
      <c r="F235" s="44"/>
      <c r="G235" s="49"/>
      <c r="H235" s="44"/>
    </row>
    <row r="236" spans="1:8" ht="36" customHeight="1" x14ac:dyDescent="0.7">
      <c r="A236" s="40" t="str">
        <f>HYPERLINK("https://bluetooth.atlassian.net/browse/ES-17980","17980")</f>
        <v>17980</v>
      </c>
      <c r="B236" s="41" t="s">
        <v>1089</v>
      </c>
      <c r="C236" s="41" t="s">
        <v>1090</v>
      </c>
      <c r="D236" s="41" t="s">
        <v>304</v>
      </c>
      <c r="E236" s="42" t="s">
        <v>2</v>
      </c>
      <c r="F236" s="41"/>
      <c r="G236" s="46"/>
      <c r="H236" s="41"/>
    </row>
    <row r="237" spans="1:8" ht="15.75" customHeight="1" x14ac:dyDescent="0.7">
      <c r="A237" s="43" t="str">
        <f>HYPERLINK("https://bluetooth.atlassian.net/browse/ES-17084","17084")</f>
        <v>17084</v>
      </c>
      <c r="B237" s="44" t="s">
        <v>109</v>
      </c>
      <c r="C237" s="44" t="s">
        <v>1091</v>
      </c>
      <c r="D237" s="44" t="s">
        <v>304</v>
      </c>
      <c r="E237" s="45" t="s">
        <v>2</v>
      </c>
      <c r="F237" s="44"/>
      <c r="G237" s="49"/>
      <c r="H237" s="44"/>
    </row>
    <row r="238" spans="1:8" ht="15.75" customHeight="1" x14ac:dyDescent="0.7">
      <c r="A238" s="40" t="str">
        <f>HYPERLINK("https://bluetooth.atlassian.net/browse/ES-17113","17113")</f>
        <v>17113</v>
      </c>
      <c r="B238" s="41" t="s">
        <v>109</v>
      </c>
      <c r="C238" s="41" t="s">
        <v>1092</v>
      </c>
      <c r="D238" s="41" t="s">
        <v>307</v>
      </c>
      <c r="E238" s="42" t="s">
        <v>2</v>
      </c>
      <c r="F238" s="41"/>
      <c r="G238" s="46"/>
      <c r="H238" s="41"/>
    </row>
    <row r="239" spans="1:8" ht="15.75" customHeight="1" x14ac:dyDescent="0.7">
      <c r="A239" s="43" t="str">
        <f>HYPERLINK("https://bluetooth.atlassian.net/browse/ES-17226","17226")</f>
        <v>17226</v>
      </c>
      <c r="B239" s="44" t="s">
        <v>1093</v>
      </c>
      <c r="C239" s="44" t="s">
        <v>1094</v>
      </c>
      <c r="D239" s="44" t="s">
        <v>304</v>
      </c>
      <c r="E239" s="45" t="s">
        <v>2</v>
      </c>
      <c r="F239" s="44"/>
      <c r="G239" s="49"/>
      <c r="H239" s="44"/>
    </row>
    <row r="240" spans="1:8" ht="15.75" customHeight="1" x14ac:dyDescent="0.7">
      <c r="A240" s="40">
        <v>17732</v>
      </c>
      <c r="B240" s="41" t="s">
        <v>1095</v>
      </c>
      <c r="C240" s="41" t="s">
        <v>1096</v>
      </c>
      <c r="D240" s="41" t="s">
        <v>310</v>
      </c>
      <c r="E240" s="42" t="s">
        <v>1</v>
      </c>
      <c r="F240" s="41">
        <v>3</v>
      </c>
      <c r="G240" s="52" t="str">
        <f>HYPERLINK("https://bluetooth.atlassian.net/browse/ES-18140","18140")</f>
        <v>18140</v>
      </c>
      <c r="H240" s="41" t="s">
        <v>1097</v>
      </c>
    </row>
    <row r="241" spans="1:8" ht="26.25" customHeight="1" x14ac:dyDescent="0.7">
      <c r="A241" s="43" t="str">
        <f>HYPERLINK("https://bluetooth.atlassian.net/browse/ES-18283","18283")</f>
        <v>18283</v>
      </c>
      <c r="B241" s="44" t="s">
        <v>1095</v>
      </c>
      <c r="C241" s="44" t="s">
        <v>1098</v>
      </c>
      <c r="D241" s="44" t="s">
        <v>307</v>
      </c>
      <c r="E241" s="45" t="s">
        <v>2</v>
      </c>
      <c r="F241" s="44"/>
      <c r="G241" s="49"/>
      <c r="H241" s="44"/>
    </row>
    <row r="242" spans="1:8" ht="15.75" customHeight="1" x14ac:dyDescent="0.7">
      <c r="A242" s="40" t="str">
        <f>HYPERLINK("https://bluetooth.atlassian.net/browse/ES-18014","18014")</f>
        <v>18014</v>
      </c>
      <c r="B242" s="41" t="s">
        <v>1095</v>
      </c>
      <c r="C242" s="41" t="s">
        <v>1099</v>
      </c>
      <c r="D242" s="41" t="s">
        <v>307</v>
      </c>
      <c r="E242" s="42" t="s">
        <v>2</v>
      </c>
      <c r="F242" s="41"/>
      <c r="G242" s="46"/>
      <c r="H242" s="41"/>
    </row>
    <row r="243" spans="1:8" ht="15.75" customHeight="1" x14ac:dyDescent="0.7">
      <c r="A243" s="43" t="str">
        <f>HYPERLINK("https://bluetooth.atlassian.net/browse/ES-19324","19324")</f>
        <v>19324</v>
      </c>
      <c r="B243" s="44" t="s">
        <v>1095</v>
      </c>
      <c r="C243" s="44" t="s">
        <v>1100</v>
      </c>
      <c r="D243" s="44" t="s">
        <v>307</v>
      </c>
      <c r="E243" s="45" t="s">
        <v>2</v>
      </c>
      <c r="F243" s="44"/>
      <c r="G243" s="49"/>
      <c r="H243" s="44"/>
    </row>
    <row r="244" spans="1:8" ht="15.75" customHeight="1" x14ac:dyDescent="0.7">
      <c r="A244" s="40" t="str">
        <f>HYPERLINK("https://bluetooth.atlassian.net/browse/ES-19217","19217")</f>
        <v>19217</v>
      </c>
      <c r="B244" s="41" t="s">
        <v>1101</v>
      </c>
      <c r="C244" s="41" t="s">
        <v>1102</v>
      </c>
      <c r="D244" s="41" t="s">
        <v>305</v>
      </c>
      <c r="E244" s="42" t="s">
        <v>2</v>
      </c>
      <c r="F244" s="41"/>
      <c r="G244" s="46"/>
      <c r="H244" s="41"/>
    </row>
    <row r="245" spans="1:8" ht="15.75" customHeight="1" x14ac:dyDescent="0.7">
      <c r="A245" s="43" t="str">
        <f>HYPERLINK("https://bluetooth.atlassian.net/browse/ES-19044","19044")</f>
        <v>19044</v>
      </c>
      <c r="B245" s="44" t="s">
        <v>1103</v>
      </c>
      <c r="C245" s="44" t="s">
        <v>1104</v>
      </c>
      <c r="D245" s="44" t="s">
        <v>305</v>
      </c>
      <c r="E245" s="45" t="s">
        <v>2</v>
      </c>
      <c r="F245" s="44"/>
      <c r="G245" s="49"/>
      <c r="H245" s="44"/>
    </row>
  </sheetData>
  <autoFilter ref="A3:H245" xr:uid="{00000000-0009-0000-0000-000001000000}"/>
  <mergeCells count="1">
    <mergeCell ref="A1:H1"/>
  </mergeCells>
  <conditionalFormatting sqref="E4:E245">
    <cfRule type="cellIs" dxfId="13" priority="1" operator="notEqual">
      <formula>"No"</formula>
    </cfRule>
  </conditionalFormatting>
  <dataValidations count="1">
    <dataValidation type="list" allowBlank="1" sqref="F3:H3" xr:uid="{00000000-0002-0000-0100-000000000000}">
      <formula1>#REF!</formula1>
    </dataValidation>
  </dataValidation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outlinePr summaryBelow="0" summaryRight="0"/>
  </sheetPr>
  <dimension ref="A1:K588"/>
  <sheetViews>
    <sheetView zoomScaleNormal="100" workbookViewId="0">
      <pane ySplit="3" topLeftCell="A4" activePane="bottomLeft" state="frozen"/>
      <selection pane="bottomLeft" activeCell="A4" sqref="A4"/>
    </sheetView>
  </sheetViews>
  <sheetFormatPr defaultColWidth="14.40625" defaultRowHeight="15.75" customHeight="1" x14ac:dyDescent="0.6"/>
  <cols>
    <col min="1" max="1" width="13.1328125" style="3" customWidth="1"/>
    <col min="2" max="2" width="37" style="1" customWidth="1"/>
    <col min="3" max="3" width="59.1328125" customWidth="1"/>
    <col min="4" max="4" width="11.86328125" style="3" bestFit="1" customWidth="1"/>
    <col min="5" max="5" width="14.40625" style="3" customWidth="1"/>
    <col min="6" max="6" width="19.86328125" style="3" customWidth="1"/>
    <col min="7" max="7" width="14.40625" style="3" customWidth="1"/>
    <col min="8" max="8" width="57.26953125" style="3" bestFit="1" customWidth="1"/>
  </cols>
  <sheetData>
    <row r="1" spans="1:8" ht="66.75" customHeight="1" thickBot="1" x14ac:dyDescent="0.75">
      <c r="A1" s="180" t="s">
        <v>787</v>
      </c>
      <c r="B1" s="181"/>
      <c r="C1" s="181"/>
      <c r="D1" s="181"/>
      <c r="E1" s="181"/>
      <c r="F1" s="181"/>
      <c r="G1" s="181"/>
      <c r="H1" s="182"/>
    </row>
    <row r="2" spans="1:8" ht="21" customHeight="1" x14ac:dyDescent="0.6">
      <c r="A2" s="7"/>
    </row>
    <row r="3" spans="1:8" s="6" customFormat="1" ht="26" x14ac:dyDescent="0.6">
      <c r="A3" s="101" t="s">
        <v>775</v>
      </c>
      <c r="B3" s="104" t="s">
        <v>9</v>
      </c>
      <c r="C3" s="104" t="s">
        <v>3</v>
      </c>
      <c r="D3" s="101" t="s">
        <v>314</v>
      </c>
      <c r="E3" s="103" t="s">
        <v>0</v>
      </c>
      <c r="F3" s="103" t="s">
        <v>781</v>
      </c>
      <c r="G3" s="103" t="s">
        <v>780</v>
      </c>
      <c r="H3" s="105" t="s">
        <v>337</v>
      </c>
    </row>
    <row r="4" spans="1:8" s="2" customFormat="1" ht="12.75" customHeight="1" x14ac:dyDescent="0.6">
      <c r="A4" s="83">
        <f>HYPERLINK("https://bluetooth.atlassian.net/browse/ES-15523",15523)</f>
        <v>15523</v>
      </c>
      <c r="B4" s="76" t="s">
        <v>276</v>
      </c>
      <c r="C4" s="76" t="s">
        <v>277</v>
      </c>
      <c r="D4" s="76" t="s">
        <v>304</v>
      </c>
      <c r="E4" s="84" t="s">
        <v>2</v>
      </c>
      <c r="F4" s="76"/>
      <c r="G4" s="76"/>
      <c r="H4" s="76"/>
    </row>
    <row r="5" spans="1:8" s="2" customFormat="1" ht="13" x14ac:dyDescent="0.6">
      <c r="A5" s="81">
        <f>HYPERLINK("https://bluetooth.atlassian.net/browse/ES-10421 ",10421)</f>
        <v>10421</v>
      </c>
      <c r="B5" s="74" t="s">
        <v>581</v>
      </c>
      <c r="C5" s="74" t="s">
        <v>580</v>
      </c>
      <c r="D5" s="74" t="s">
        <v>304</v>
      </c>
      <c r="E5" s="82" t="s">
        <v>2</v>
      </c>
      <c r="F5" s="74"/>
      <c r="G5" s="74"/>
      <c r="H5" s="75"/>
    </row>
    <row r="6" spans="1:8" s="2" customFormat="1" ht="13" x14ac:dyDescent="0.6">
      <c r="A6" s="83">
        <f>HYPERLINK("https://bluetooth.atlassian.net/browse/ES-11927",11927)</f>
        <v>11927</v>
      </c>
      <c r="B6" s="76" t="s">
        <v>28</v>
      </c>
      <c r="C6" s="76" t="s">
        <v>29</v>
      </c>
      <c r="D6" s="76" t="s">
        <v>304</v>
      </c>
      <c r="E6" s="84" t="s">
        <v>2</v>
      </c>
      <c r="F6" s="76"/>
      <c r="G6" s="76"/>
      <c r="H6" s="77" t="s">
        <v>204</v>
      </c>
    </row>
    <row r="7" spans="1:8" s="2" customFormat="1" ht="25.5" customHeight="1" x14ac:dyDescent="0.6">
      <c r="A7" s="81">
        <f>HYPERLINK("https://bluetooth.atlassian.net/browse/ES-11925",11925)</f>
        <v>11925</v>
      </c>
      <c r="B7" s="74" t="s">
        <v>28</v>
      </c>
      <c r="C7" s="74" t="s">
        <v>462</v>
      </c>
      <c r="D7" s="74" t="s">
        <v>305</v>
      </c>
      <c r="E7" s="82" t="s">
        <v>2</v>
      </c>
      <c r="F7" s="74"/>
      <c r="G7" s="74"/>
      <c r="H7" s="75" t="s">
        <v>204</v>
      </c>
    </row>
    <row r="8" spans="1:8" s="2" customFormat="1" ht="13" x14ac:dyDescent="0.6">
      <c r="A8" s="83">
        <f>HYPERLINK("https://bluetooth.atlassian.net/browse/ES-15379",15379)</f>
        <v>15379</v>
      </c>
      <c r="B8" s="76" t="s">
        <v>266</v>
      </c>
      <c r="C8" s="76" t="s">
        <v>267</v>
      </c>
      <c r="D8" s="76" t="s">
        <v>304</v>
      </c>
      <c r="E8" s="84" t="s">
        <v>2</v>
      </c>
      <c r="F8" s="76"/>
      <c r="G8" s="76"/>
      <c r="H8" s="77"/>
    </row>
    <row r="9" spans="1:8" s="2" customFormat="1" ht="13" x14ac:dyDescent="0.6">
      <c r="A9" s="81">
        <f>HYPERLINK("https://bluetooth.atlassian.net/browse/ES-16833",16833)</f>
        <v>16833</v>
      </c>
      <c r="B9" s="74" t="s">
        <v>266</v>
      </c>
      <c r="C9" s="74" t="s">
        <v>641</v>
      </c>
      <c r="D9" s="74" t="s">
        <v>304</v>
      </c>
      <c r="E9" s="82" t="s">
        <v>2</v>
      </c>
      <c r="F9" s="74"/>
      <c r="G9" s="74"/>
      <c r="H9" s="75"/>
    </row>
    <row r="10" spans="1:8" s="2" customFormat="1" ht="13" x14ac:dyDescent="0.6">
      <c r="A10" s="83">
        <f>HYPERLINK("https://bluetooth.atlassian.net/browse/ES-15533",15533)</f>
        <v>15533</v>
      </c>
      <c r="B10" s="76" t="s">
        <v>266</v>
      </c>
      <c r="C10" s="76" t="s">
        <v>370</v>
      </c>
      <c r="D10" s="76" t="s">
        <v>305</v>
      </c>
      <c r="E10" s="84" t="s">
        <v>2</v>
      </c>
      <c r="F10" s="76"/>
      <c r="G10" s="76"/>
      <c r="H10" s="77"/>
    </row>
    <row r="11" spans="1:8" s="2" customFormat="1" ht="13" x14ac:dyDescent="0.6">
      <c r="A11" s="81">
        <f>HYPERLINK("https://bluetooth.atlassian.net/browse/ES-15526",15526)</f>
        <v>15526</v>
      </c>
      <c r="B11" s="74" t="s">
        <v>266</v>
      </c>
      <c r="C11" s="74" t="s">
        <v>334</v>
      </c>
      <c r="D11" s="74" t="s">
        <v>305</v>
      </c>
      <c r="E11" s="82" t="s">
        <v>2</v>
      </c>
      <c r="F11" s="74"/>
      <c r="G11" s="74"/>
      <c r="H11" s="75"/>
    </row>
    <row r="12" spans="1:8" s="2" customFormat="1" ht="13" x14ac:dyDescent="0.6">
      <c r="A12" s="83">
        <f>HYPERLINK("https://bluetooth.atlassian.net/browse/ES-16113 ",16113)</f>
        <v>16113</v>
      </c>
      <c r="B12" s="76" t="s">
        <v>266</v>
      </c>
      <c r="C12" s="76" t="s">
        <v>495</v>
      </c>
      <c r="D12" s="76" t="s">
        <v>305</v>
      </c>
      <c r="E12" s="84" t="s">
        <v>2</v>
      </c>
      <c r="F12" s="76"/>
      <c r="G12" s="76"/>
      <c r="H12" s="77"/>
    </row>
    <row r="13" spans="1:8" s="2" customFormat="1" ht="13" x14ac:dyDescent="0.6">
      <c r="A13" s="81">
        <f>HYPERLINK("https://bluetooth.atlassian.net/browse/ES-15832",15832)</f>
        <v>15832</v>
      </c>
      <c r="B13" s="74" t="s">
        <v>587</v>
      </c>
      <c r="C13" s="74" t="s">
        <v>588</v>
      </c>
      <c r="D13" s="74" t="s">
        <v>304</v>
      </c>
      <c r="E13" s="82" t="s">
        <v>2</v>
      </c>
      <c r="F13" s="74"/>
      <c r="G13" s="85">
        <f>HYPERLINK("https://bluetooth.atlassian.net/browse/ES-15965",15965)</f>
        <v>15965</v>
      </c>
      <c r="H13" s="75" t="s">
        <v>628</v>
      </c>
    </row>
    <row r="14" spans="1:8" s="2" customFormat="1" ht="13" x14ac:dyDescent="0.6">
      <c r="A14" s="83">
        <f>HYPERLINK("https://bluetooth.atlassian.net/browse/ES-13305",13305)</f>
        <v>13305</v>
      </c>
      <c r="B14" s="76" t="s">
        <v>587</v>
      </c>
      <c r="C14" s="76" t="s">
        <v>115</v>
      </c>
      <c r="D14" s="76" t="s">
        <v>304</v>
      </c>
      <c r="E14" s="84" t="s">
        <v>2</v>
      </c>
      <c r="F14" s="76"/>
      <c r="G14" s="76"/>
      <c r="H14" s="77" t="s">
        <v>204</v>
      </c>
    </row>
    <row r="15" spans="1:8" s="2" customFormat="1" ht="13" x14ac:dyDescent="0.6">
      <c r="A15" s="81">
        <f>HYPERLINK("https://bluetooth.atlassian.net/browse/ES-14761",14761)</f>
        <v>14761</v>
      </c>
      <c r="B15" s="74" t="s">
        <v>587</v>
      </c>
      <c r="C15" s="74" t="s">
        <v>426</v>
      </c>
      <c r="D15" s="74" t="s">
        <v>304</v>
      </c>
      <c r="E15" s="82" t="s">
        <v>2</v>
      </c>
      <c r="F15" s="74"/>
      <c r="G15" s="74"/>
      <c r="H15" s="75" t="s">
        <v>204</v>
      </c>
    </row>
    <row r="16" spans="1:8" s="2" customFormat="1" ht="13" x14ac:dyDescent="0.6">
      <c r="A16" s="83">
        <f>HYPERLINK("https://bluetooth.atlassian.net/browse/ES-15832",15832)</f>
        <v>15832</v>
      </c>
      <c r="B16" s="76" t="s">
        <v>587</v>
      </c>
      <c r="C16" s="76" t="s">
        <v>588</v>
      </c>
      <c r="D16" s="76" t="s">
        <v>304</v>
      </c>
      <c r="E16" s="84" t="s">
        <v>2</v>
      </c>
      <c r="F16" s="76"/>
      <c r="G16" s="76"/>
      <c r="H16" s="77"/>
    </row>
    <row r="17" spans="1:8" s="2" customFormat="1" ht="13" x14ac:dyDescent="0.6">
      <c r="A17" s="81">
        <f>HYPERLINK("https://bluetooth.atlassian.net/browse/ES-13530",13530)</f>
        <v>13530</v>
      </c>
      <c r="B17" s="74" t="s">
        <v>587</v>
      </c>
      <c r="C17" s="74" t="s">
        <v>135</v>
      </c>
      <c r="D17" s="74" t="s">
        <v>305</v>
      </c>
      <c r="E17" s="82" t="s">
        <v>2</v>
      </c>
      <c r="F17" s="74"/>
      <c r="G17" s="74"/>
      <c r="H17" s="75" t="s">
        <v>204</v>
      </c>
    </row>
    <row r="18" spans="1:8" s="2" customFormat="1" ht="26" x14ac:dyDescent="0.6">
      <c r="A18" s="83">
        <f>HYPERLINK("https://bluetooth.atlassian.net/browse/ES-16018",16018)</f>
        <v>16018</v>
      </c>
      <c r="B18" s="76" t="s">
        <v>587</v>
      </c>
      <c r="C18" s="76" t="s">
        <v>351</v>
      </c>
      <c r="D18" s="76" t="s">
        <v>305</v>
      </c>
      <c r="E18" s="84" t="s">
        <v>2</v>
      </c>
      <c r="F18" s="76"/>
      <c r="G18" s="76"/>
      <c r="H18" s="77"/>
    </row>
    <row r="19" spans="1:8" s="2" customFormat="1" ht="26" x14ac:dyDescent="0.6">
      <c r="A19" s="81">
        <f>HYPERLINK("https://bluetooth.atlassian.net/browse/ES-16018",16018)</f>
        <v>16018</v>
      </c>
      <c r="B19" s="74" t="s">
        <v>587</v>
      </c>
      <c r="C19" s="74" t="s">
        <v>351</v>
      </c>
      <c r="D19" s="74" t="s">
        <v>305</v>
      </c>
      <c r="E19" s="82" t="s">
        <v>2</v>
      </c>
      <c r="F19" s="74"/>
      <c r="G19" s="74"/>
      <c r="H19" s="75"/>
    </row>
    <row r="20" spans="1:8" s="2" customFormat="1" ht="13" x14ac:dyDescent="0.6">
      <c r="A20" s="83">
        <f>HYPERLINK("https://bluetooth.atlassian.net/browse/ES-16494 ",16494)</f>
        <v>16494</v>
      </c>
      <c r="B20" s="76" t="s">
        <v>587</v>
      </c>
      <c r="C20" s="76" t="s">
        <v>511</v>
      </c>
      <c r="D20" s="76" t="s">
        <v>305</v>
      </c>
      <c r="E20" s="84" t="s">
        <v>2</v>
      </c>
      <c r="F20" s="76"/>
      <c r="G20" s="76"/>
      <c r="H20" s="77"/>
    </row>
    <row r="21" spans="1:8" s="2" customFormat="1" ht="13" x14ac:dyDescent="0.6">
      <c r="A21" s="81">
        <f>HYPERLINK("https://bluetooth.atlassian.net/browse/ES-16505 ",16505)</f>
        <v>16505</v>
      </c>
      <c r="B21" s="74" t="s">
        <v>587</v>
      </c>
      <c r="C21" s="74" t="s">
        <v>515</v>
      </c>
      <c r="D21" s="74" t="s">
        <v>307</v>
      </c>
      <c r="E21" s="82" t="s">
        <v>2</v>
      </c>
      <c r="F21" s="74"/>
      <c r="G21" s="74"/>
      <c r="H21" s="75"/>
    </row>
    <row r="22" spans="1:8" s="2" customFormat="1" ht="13" x14ac:dyDescent="0.6">
      <c r="A22" s="83">
        <f>HYPERLINK("https://bluetooth.atlassian.net/browse/ES-14819",14819)</f>
        <v>14819</v>
      </c>
      <c r="B22" s="76" t="s">
        <v>587</v>
      </c>
      <c r="C22" s="76" t="s">
        <v>422</v>
      </c>
      <c r="D22" s="76" t="s">
        <v>307</v>
      </c>
      <c r="E22" s="84" t="s">
        <v>2</v>
      </c>
      <c r="F22" s="76"/>
      <c r="G22" s="76"/>
      <c r="H22" s="77" t="s">
        <v>204</v>
      </c>
    </row>
    <row r="23" spans="1:8" s="2" customFormat="1" ht="26" x14ac:dyDescent="0.6">
      <c r="A23" s="81">
        <f>HYPERLINK("https://bluetooth.atlassian.net/browse/ES-14988",14988)</f>
        <v>14988</v>
      </c>
      <c r="B23" s="74" t="s">
        <v>587</v>
      </c>
      <c r="C23" s="74" t="s">
        <v>409</v>
      </c>
      <c r="D23" s="74" t="s">
        <v>307</v>
      </c>
      <c r="E23" s="82" t="s">
        <v>2</v>
      </c>
      <c r="F23" s="74"/>
      <c r="G23" s="86"/>
      <c r="H23" s="75" t="s">
        <v>204</v>
      </c>
    </row>
    <row r="24" spans="1:8" s="2" customFormat="1" ht="13" x14ac:dyDescent="0.6">
      <c r="A24" s="83">
        <f>HYPERLINK("https://bluetooth.atlassian.net/browse/ES-13528",13528)</f>
        <v>13528</v>
      </c>
      <c r="B24" s="76" t="s">
        <v>133</v>
      </c>
      <c r="C24" s="76" t="s">
        <v>134</v>
      </c>
      <c r="D24" s="76" t="s">
        <v>305</v>
      </c>
      <c r="E24" s="84" t="s">
        <v>2</v>
      </c>
      <c r="F24" s="76"/>
      <c r="G24" s="76"/>
      <c r="H24" s="77" t="s">
        <v>204</v>
      </c>
    </row>
    <row r="25" spans="1:8" s="2" customFormat="1" ht="13" x14ac:dyDescent="0.6">
      <c r="A25" s="81">
        <f>HYPERLINK("https://bluetooth.atlassian.net/browse/ES-15633",15633)</f>
        <v>15633</v>
      </c>
      <c r="B25" s="74" t="s">
        <v>133</v>
      </c>
      <c r="C25" s="74" t="s">
        <v>287</v>
      </c>
      <c r="D25" s="74" t="s">
        <v>305</v>
      </c>
      <c r="E25" s="82" t="s">
        <v>2</v>
      </c>
      <c r="F25" s="74"/>
      <c r="G25" s="74"/>
      <c r="H25" s="75"/>
    </row>
    <row r="26" spans="1:8" s="2" customFormat="1" ht="26" x14ac:dyDescent="0.6">
      <c r="A26" s="83">
        <f>HYPERLINK("https://bluetooth.atlassian.net/browse/ES-15670",15670)</f>
        <v>15670</v>
      </c>
      <c r="B26" s="76" t="s">
        <v>133</v>
      </c>
      <c r="C26" s="76" t="s">
        <v>362</v>
      </c>
      <c r="D26" s="76" t="s">
        <v>305</v>
      </c>
      <c r="E26" s="84" t="s">
        <v>2</v>
      </c>
      <c r="F26" s="76"/>
      <c r="G26" s="76"/>
      <c r="H26" s="77"/>
    </row>
    <row r="27" spans="1:8" s="2" customFormat="1" ht="13" x14ac:dyDescent="0.6">
      <c r="A27" s="81">
        <f>HYPERLINK("https://bluetooth.atlassian.net/browse/ES-14972",14972)</f>
        <v>14972</v>
      </c>
      <c r="B27" s="74" t="s">
        <v>133</v>
      </c>
      <c r="C27" s="74" t="s">
        <v>410</v>
      </c>
      <c r="D27" s="74" t="s">
        <v>307</v>
      </c>
      <c r="E27" s="82" t="s">
        <v>2</v>
      </c>
      <c r="F27" s="74"/>
      <c r="G27" s="74"/>
      <c r="H27" s="75" t="s">
        <v>204</v>
      </c>
    </row>
    <row r="28" spans="1:8" s="2" customFormat="1" ht="13" x14ac:dyDescent="0.6">
      <c r="A28" s="83">
        <f>HYPERLINK("https://bluetooth.atlassian.net/browse/ES-14930",14930)</f>
        <v>14930</v>
      </c>
      <c r="B28" s="76" t="s">
        <v>169</v>
      </c>
      <c r="C28" s="76" t="s">
        <v>170</v>
      </c>
      <c r="D28" s="76" t="s">
        <v>304</v>
      </c>
      <c r="E28" s="84" t="s">
        <v>2</v>
      </c>
      <c r="F28" s="76"/>
      <c r="G28" s="76"/>
      <c r="H28" s="77" t="s">
        <v>204</v>
      </c>
    </row>
    <row r="29" spans="1:8" s="2" customFormat="1" ht="13" x14ac:dyDescent="0.6">
      <c r="A29" s="81">
        <f>HYPERLINK("https://bluetooth.atlassian.net/browse/ES-16163",16163)</f>
        <v>16163</v>
      </c>
      <c r="B29" s="74" t="s">
        <v>169</v>
      </c>
      <c r="C29" s="74" t="s">
        <v>329</v>
      </c>
      <c r="D29" s="74" t="s">
        <v>304</v>
      </c>
      <c r="E29" s="82" t="s">
        <v>2</v>
      </c>
      <c r="F29" s="74"/>
      <c r="G29" s="74"/>
      <c r="H29" s="75"/>
    </row>
    <row r="30" spans="1:8" s="2" customFormat="1" ht="25.5" customHeight="1" x14ac:dyDescent="0.6">
      <c r="A30" s="83">
        <f>HYPERLINK("https://bluetooth.atlassian.net/browse/ES-15754",15754)</f>
        <v>15754</v>
      </c>
      <c r="B30" s="76" t="s">
        <v>312</v>
      </c>
      <c r="C30" s="76" t="s">
        <v>313</v>
      </c>
      <c r="D30" s="76" t="s">
        <v>304</v>
      </c>
      <c r="E30" s="84" t="s">
        <v>2</v>
      </c>
      <c r="F30" s="76"/>
      <c r="G30" s="76"/>
      <c r="H30" s="77"/>
    </row>
    <row r="31" spans="1:8" s="2" customFormat="1" ht="24" customHeight="1" x14ac:dyDescent="0.6">
      <c r="A31" s="81">
        <f>HYPERLINK("https://bluetooth.atlassian.net/browse/ES-15686",15686)</f>
        <v>15686</v>
      </c>
      <c r="B31" s="74" t="s">
        <v>312</v>
      </c>
      <c r="C31" s="74" t="s">
        <v>313</v>
      </c>
      <c r="D31" s="74" t="s">
        <v>304</v>
      </c>
      <c r="E31" s="82" t="s">
        <v>2</v>
      </c>
      <c r="F31" s="74"/>
      <c r="G31" s="74"/>
      <c r="H31" s="75"/>
    </row>
    <row r="32" spans="1:8" s="2" customFormat="1" ht="39" x14ac:dyDescent="0.6">
      <c r="A32" s="83">
        <f>HYPERLINK("https://bluetooth.atlassian.net/browse/ES-13250",13250)</f>
        <v>13250</v>
      </c>
      <c r="B32" s="76" t="s">
        <v>103</v>
      </c>
      <c r="C32" s="76" t="s">
        <v>486</v>
      </c>
      <c r="D32" s="76" t="s">
        <v>305</v>
      </c>
      <c r="E32" s="84" t="s">
        <v>2</v>
      </c>
      <c r="F32" s="76"/>
      <c r="G32" s="76"/>
      <c r="H32" s="77" t="s">
        <v>204</v>
      </c>
    </row>
    <row r="33" spans="1:9" s="2" customFormat="1" ht="25.5" customHeight="1" x14ac:dyDescent="0.6">
      <c r="A33" s="81">
        <f>HYPERLINK("https://bluetooth.atlassian.net/browse/ES-15874",15874)</f>
        <v>15874</v>
      </c>
      <c r="B33" s="74" t="s">
        <v>103</v>
      </c>
      <c r="C33" s="74" t="s">
        <v>353</v>
      </c>
      <c r="D33" s="74" t="s">
        <v>305</v>
      </c>
      <c r="E33" s="82" t="s">
        <v>2</v>
      </c>
      <c r="F33" s="74"/>
      <c r="G33" s="74"/>
      <c r="H33" s="75"/>
    </row>
    <row r="34" spans="1:9" s="2" customFormat="1" ht="13" x14ac:dyDescent="0.6">
      <c r="A34" s="83">
        <f>HYPERLINK("https://bluetooth.atlassian.net/browse/ES-16238",16238)</f>
        <v>16238</v>
      </c>
      <c r="B34" s="76" t="s">
        <v>321</v>
      </c>
      <c r="C34" s="76" t="s">
        <v>565</v>
      </c>
      <c r="D34" s="76" t="s">
        <v>304</v>
      </c>
      <c r="E34" s="84" t="s">
        <v>2</v>
      </c>
      <c r="F34" s="76"/>
      <c r="G34" s="76"/>
      <c r="H34" s="77"/>
    </row>
    <row r="35" spans="1:9" s="2" customFormat="1" ht="12.95" customHeight="1" x14ac:dyDescent="0.6">
      <c r="A35" s="81">
        <f>HYPERLINK("https://bluetooth.atlassian.net/browse/ES-15328",15328)</f>
        <v>15328</v>
      </c>
      <c r="B35" s="74" t="s">
        <v>221</v>
      </c>
      <c r="C35" s="74" t="s">
        <v>558</v>
      </c>
      <c r="D35" s="74" t="s">
        <v>304</v>
      </c>
      <c r="E35" s="82" t="s">
        <v>1</v>
      </c>
      <c r="F35" s="74">
        <v>1</v>
      </c>
      <c r="G35" s="87">
        <f>HYPERLINK("https://bluetooth.atlassian.net/browse/ES-15491",15491)</f>
        <v>15491</v>
      </c>
      <c r="H35" s="78" t="s">
        <v>1106</v>
      </c>
    </row>
    <row r="36" spans="1:9" s="2" customFormat="1" ht="12.95" customHeight="1" x14ac:dyDescent="0.6">
      <c r="A36" s="83">
        <f>HYPERLINK("https://bluetooth.atlassian.net/browse/ES-15338",15338)</f>
        <v>15338</v>
      </c>
      <c r="B36" s="76" t="s">
        <v>221</v>
      </c>
      <c r="C36" s="76" t="s">
        <v>589</v>
      </c>
      <c r="D36" s="76" t="s">
        <v>304</v>
      </c>
      <c r="E36" s="84" t="s">
        <v>1</v>
      </c>
      <c r="F36" s="76">
        <v>1</v>
      </c>
      <c r="G36" s="88">
        <f>HYPERLINK("https://bluetooth.atlassian.net/browse/ES-15431",15431)</f>
        <v>15431</v>
      </c>
      <c r="H36" s="79" t="s">
        <v>1107</v>
      </c>
    </row>
    <row r="37" spans="1:9" s="2" customFormat="1" ht="12.95" customHeight="1" x14ac:dyDescent="0.6">
      <c r="A37" s="81">
        <f>HYPERLINK("https://bluetooth.atlassian.net/browse/ES-15349",15349)</f>
        <v>15349</v>
      </c>
      <c r="B37" s="74" t="s">
        <v>221</v>
      </c>
      <c r="C37" s="74" t="s">
        <v>225</v>
      </c>
      <c r="D37" s="74" t="s">
        <v>304</v>
      </c>
      <c r="E37" s="82" t="s">
        <v>1</v>
      </c>
      <c r="F37" s="74">
        <v>1</v>
      </c>
      <c r="G37" s="87">
        <f>HYPERLINK("https://bluetooth.atlassian.net/browse/ES-15435",15435)</f>
        <v>15435</v>
      </c>
      <c r="H37" s="78" t="s">
        <v>1108</v>
      </c>
    </row>
    <row r="38" spans="1:9" s="2" customFormat="1" ht="12.95" customHeight="1" x14ac:dyDescent="0.6">
      <c r="A38" s="83">
        <f>HYPERLINK("https://bluetooth.atlassian.net/browse/ES-15354",15354)</f>
        <v>15354</v>
      </c>
      <c r="B38" s="76" t="s">
        <v>221</v>
      </c>
      <c r="C38" s="76" t="s">
        <v>226</v>
      </c>
      <c r="D38" s="76" t="s">
        <v>304</v>
      </c>
      <c r="E38" s="84" t="s">
        <v>1</v>
      </c>
      <c r="F38" s="76">
        <v>1</v>
      </c>
      <c r="G38" s="88">
        <f>HYPERLINK("https://bluetooth.atlassian.net/browse/ES-15437",15437)</f>
        <v>15437</v>
      </c>
      <c r="H38" s="80" t="s">
        <v>1109</v>
      </c>
      <c r="I38" s="4"/>
    </row>
    <row r="39" spans="1:9" s="2" customFormat="1" ht="12.95" customHeight="1" x14ac:dyDescent="0.6">
      <c r="A39" s="81">
        <f>HYPERLINK("https://bluetooth.atlassian.net/browse/ES-15359",15359)</f>
        <v>15359</v>
      </c>
      <c r="B39" s="74" t="s">
        <v>221</v>
      </c>
      <c r="C39" s="74" t="s">
        <v>230</v>
      </c>
      <c r="D39" s="74" t="s">
        <v>304</v>
      </c>
      <c r="E39" s="82" t="s">
        <v>1</v>
      </c>
      <c r="F39" s="74">
        <v>1</v>
      </c>
      <c r="G39" s="87">
        <f>HYPERLINK("https://bluetooth.atlassian.net/browse/ES-15441",15441)</f>
        <v>15441</v>
      </c>
      <c r="H39" s="78" t="s">
        <v>1110</v>
      </c>
    </row>
    <row r="40" spans="1:9" s="2" customFormat="1" ht="12.95" customHeight="1" x14ac:dyDescent="0.6">
      <c r="A40" s="83">
        <f>HYPERLINK("https://bluetooth.atlassian.net/browse/ES-15360",15360)</f>
        <v>15360</v>
      </c>
      <c r="B40" s="76" t="s">
        <v>221</v>
      </c>
      <c r="C40" s="76" t="s">
        <v>231</v>
      </c>
      <c r="D40" s="76" t="s">
        <v>304</v>
      </c>
      <c r="E40" s="84" t="s">
        <v>1</v>
      </c>
      <c r="F40" s="76">
        <v>1</v>
      </c>
      <c r="G40" s="89">
        <f>HYPERLINK("https://bluetooth.atlassian.net/browse/ES-15443",15443)</f>
        <v>15443</v>
      </c>
      <c r="H40" s="80" t="s">
        <v>1111</v>
      </c>
      <c r="I40" s="5"/>
    </row>
    <row r="41" spans="1:9" s="2" customFormat="1" ht="13" x14ac:dyDescent="0.6">
      <c r="A41" s="178">
        <f>HYPERLINK("https://bluetooth.atlassian.net/browse/ES-15361",15361)</f>
        <v>15361</v>
      </c>
      <c r="B41" s="176" t="s">
        <v>221</v>
      </c>
      <c r="C41" s="176" t="s">
        <v>232</v>
      </c>
      <c r="D41" s="176" t="s">
        <v>304</v>
      </c>
      <c r="E41" s="177" t="s">
        <v>1</v>
      </c>
      <c r="F41" s="176" t="s">
        <v>298</v>
      </c>
      <c r="G41" s="85" t="str">
        <f>HYPERLINK("https://bluetooth.atlassian.net/browse/ES-15444","15444,")</f>
        <v>15444,</v>
      </c>
      <c r="H41" s="174" t="s">
        <v>1112</v>
      </c>
    </row>
    <row r="42" spans="1:9" s="2" customFormat="1" ht="13" x14ac:dyDescent="0.6">
      <c r="A42" s="172"/>
      <c r="B42" s="170"/>
      <c r="C42" s="170"/>
      <c r="D42" s="170"/>
      <c r="E42" s="172"/>
      <c r="F42" s="170"/>
      <c r="G42" s="85">
        <f>HYPERLINK("https://bluetooth.atlassian.net/browse/ES-15445",15445)</f>
        <v>15445</v>
      </c>
      <c r="H42" s="175"/>
    </row>
    <row r="43" spans="1:9" s="2" customFormat="1" ht="13" x14ac:dyDescent="0.6">
      <c r="A43" s="173">
        <f>HYPERLINK("https://bluetooth.atlassian.net/browse/ES-15531",15531)</f>
        <v>15531</v>
      </c>
      <c r="B43" s="169" t="s">
        <v>221</v>
      </c>
      <c r="C43" s="169" t="s">
        <v>249</v>
      </c>
      <c r="D43" s="169" t="s">
        <v>304</v>
      </c>
      <c r="E43" s="171" t="s">
        <v>1</v>
      </c>
      <c r="F43" s="169" t="s">
        <v>298</v>
      </c>
      <c r="G43" s="89" t="str">
        <f>HYPERLINK("https://bluetooth.atlassian.net/browse/ES-15588","15588,")</f>
        <v>15588,</v>
      </c>
      <c r="H43" s="175" t="s">
        <v>1113</v>
      </c>
    </row>
    <row r="44" spans="1:9" s="2" customFormat="1" ht="13" x14ac:dyDescent="0.6">
      <c r="A44" s="172"/>
      <c r="B44" s="170"/>
      <c r="C44" s="170"/>
      <c r="D44" s="170"/>
      <c r="E44" s="172"/>
      <c r="F44" s="170"/>
      <c r="G44" s="89" t="str">
        <f>HYPERLINK("https://bluetooth.atlassian.net/browse/ES-15444","15589")</f>
        <v>15589</v>
      </c>
      <c r="H44" s="175"/>
    </row>
    <row r="45" spans="1:9" s="2" customFormat="1" ht="13" x14ac:dyDescent="0.6">
      <c r="A45" s="178">
        <f>HYPERLINK("https://bluetooth.atlassian.net/browse/ES-15334",15334)</f>
        <v>15334</v>
      </c>
      <c r="B45" s="176" t="s">
        <v>221</v>
      </c>
      <c r="C45" s="176" t="s">
        <v>222</v>
      </c>
      <c r="D45" s="176" t="s">
        <v>304</v>
      </c>
      <c r="E45" s="177" t="s">
        <v>1</v>
      </c>
      <c r="F45" s="176" t="s">
        <v>303</v>
      </c>
      <c r="G45" s="85" t="str">
        <f>HYPERLINK("https://bluetooth.atlassian.net/browse/ES-15487","15487,")</f>
        <v>15487,</v>
      </c>
      <c r="H45" s="174" t="s">
        <v>1114</v>
      </c>
    </row>
    <row r="46" spans="1:9" s="2" customFormat="1" ht="13" x14ac:dyDescent="0.6">
      <c r="A46" s="172"/>
      <c r="B46" s="170"/>
      <c r="C46" s="170"/>
      <c r="D46" s="170"/>
      <c r="E46" s="172"/>
      <c r="F46" s="170"/>
      <c r="G46" s="85" t="str">
        <f>HYPERLINK("https://bluetooth.atlassian.net/browse/ES-15488","15488,")</f>
        <v>15488,</v>
      </c>
      <c r="H46" s="175"/>
    </row>
    <row r="47" spans="1:9" s="2" customFormat="1" ht="13" x14ac:dyDescent="0.6">
      <c r="A47" s="172"/>
      <c r="B47" s="170"/>
      <c r="C47" s="170"/>
      <c r="D47" s="170"/>
      <c r="E47" s="172"/>
      <c r="F47" s="170"/>
      <c r="G47" s="85" t="str">
        <f>HYPERLINK("https://bluetooth.atlassian.net/browse/ES-15489","15489")</f>
        <v>15489</v>
      </c>
      <c r="H47" s="175"/>
    </row>
    <row r="48" spans="1:9" s="2" customFormat="1" ht="13" x14ac:dyDescent="0.6">
      <c r="A48" s="173">
        <f>HYPERLINK("https://bluetooth.atlassian.net/browse/ES-15348",15348)</f>
        <v>15348</v>
      </c>
      <c r="B48" s="169" t="s">
        <v>221</v>
      </c>
      <c r="C48" s="169" t="s">
        <v>224</v>
      </c>
      <c r="D48" s="169" t="s">
        <v>304</v>
      </c>
      <c r="E48" s="171" t="s">
        <v>1</v>
      </c>
      <c r="F48" s="169" t="s">
        <v>303</v>
      </c>
      <c r="G48" s="89" t="str">
        <f>HYPERLINK("https://bluetooth.atlassian.net/browse/ES-15432","15432,")</f>
        <v>15432,</v>
      </c>
      <c r="H48" s="175" t="s">
        <v>1115</v>
      </c>
      <c r="I48" s="4"/>
    </row>
    <row r="49" spans="1:9" s="2" customFormat="1" ht="13" x14ac:dyDescent="0.6">
      <c r="A49" s="172"/>
      <c r="B49" s="170"/>
      <c r="C49" s="170"/>
      <c r="D49" s="170"/>
      <c r="E49" s="172"/>
      <c r="F49" s="170"/>
      <c r="G49" s="89" t="str">
        <f>HYPERLINK("https://bluetooth.atlassian.net/browse/ES-15433","15433,")</f>
        <v>15433,</v>
      </c>
      <c r="H49" s="175"/>
      <c r="I49" s="4"/>
    </row>
    <row r="50" spans="1:9" s="2" customFormat="1" ht="13" x14ac:dyDescent="0.6">
      <c r="A50" s="172"/>
      <c r="B50" s="170"/>
      <c r="C50" s="170"/>
      <c r="D50" s="170"/>
      <c r="E50" s="172"/>
      <c r="F50" s="170"/>
      <c r="G50" s="89" t="str">
        <f>HYPERLINK("https://bluetooth.atlassian.net/browse/ES-15434","15434,")</f>
        <v>15434,</v>
      </c>
      <c r="H50" s="175"/>
      <c r="I50" s="4"/>
    </row>
    <row r="51" spans="1:9" s="2" customFormat="1" ht="13" x14ac:dyDescent="0.6">
      <c r="A51" s="178">
        <f>HYPERLINK("https://bluetooth.atlassian.net/browse/ES-15358",15358)</f>
        <v>15358</v>
      </c>
      <c r="B51" s="176" t="s">
        <v>221</v>
      </c>
      <c r="C51" s="176" t="s">
        <v>229</v>
      </c>
      <c r="D51" s="176" t="s">
        <v>304</v>
      </c>
      <c r="E51" s="177" t="s">
        <v>1</v>
      </c>
      <c r="F51" s="176" t="s">
        <v>303</v>
      </c>
      <c r="G51" s="85" t="str">
        <f>HYPERLINK("https://bluetooth.atlassian.net/browse/ES-15438","15438,")</f>
        <v>15438,</v>
      </c>
      <c r="H51" s="174" t="s">
        <v>1116</v>
      </c>
    </row>
    <row r="52" spans="1:9" s="2" customFormat="1" ht="13" x14ac:dyDescent="0.6">
      <c r="A52" s="172"/>
      <c r="B52" s="170"/>
      <c r="C52" s="170"/>
      <c r="D52" s="170"/>
      <c r="E52" s="172"/>
      <c r="F52" s="170"/>
      <c r="G52" s="85" t="str">
        <f>HYPERLINK("https://bluetooth.atlassian.net/browse/ES-15440","15440,")</f>
        <v>15440,</v>
      </c>
      <c r="H52" s="175"/>
    </row>
    <row r="53" spans="1:9" s="2" customFormat="1" ht="13" x14ac:dyDescent="0.6">
      <c r="A53" s="172"/>
      <c r="B53" s="170"/>
      <c r="C53" s="170"/>
      <c r="D53" s="170"/>
      <c r="E53" s="172"/>
      <c r="F53" s="170"/>
      <c r="G53" s="85" t="str">
        <f>HYPERLINK("https://bluetooth.atlassian.net/browse/ES-15441","15441")</f>
        <v>15441</v>
      </c>
      <c r="H53" s="175"/>
    </row>
    <row r="54" spans="1:9" s="2" customFormat="1" ht="12.95" customHeight="1" x14ac:dyDescent="0.6">
      <c r="A54" s="83">
        <f>HYPERLINK("https://bluetooth.atlassian.net/browse/ES-15529",15529)</f>
        <v>15529</v>
      </c>
      <c r="B54" s="76" t="s">
        <v>221</v>
      </c>
      <c r="C54" s="76" t="s">
        <v>546</v>
      </c>
      <c r="D54" s="76" t="s">
        <v>304</v>
      </c>
      <c r="E54" s="84" t="s">
        <v>2</v>
      </c>
      <c r="F54" s="76"/>
      <c r="G54" s="76"/>
      <c r="H54" s="79"/>
    </row>
    <row r="55" spans="1:9" s="2" customFormat="1" ht="12.95" customHeight="1" x14ac:dyDescent="0.6">
      <c r="A55" s="81">
        <f>HYPERLINK("https://bluetooth.atlassian.net/browse/ES-15336",15336)</f>
        <v>15336</v>
      </c>
      <c r="B55" s="74" t="s">
        <v>221</v>
      </c>
      <c r="C55" s="74" t="s">
        <v>223</v>
      </c>
      <c r="D55" s="74" t="s">
        <v>304</v>
      </c>
      <c r="E55" s="82" t="s">
        <v>2</v>
      </c>
      <c r="F55" s="74"/>
      <c r="G55" s="74"/>
      <c r="H55" s="78"/>
    </row>
    <row r="56" spans="1:9" s="2" customFormat="1" ht="12.95" customHeight="1" x14ac:dyDescent="0.6">
      <c r="A56" s="83">
        <f>HYPERLINK("https://bluetooth.atlassian.net/browse/ES-15342",15342)</f>
        <v>15342</v>
      </c>
      <c r="B56" s="76" t="s">
        <v>221</v>
      </c>
      <c r="C56" s="76" t="s">
        <v>557</v>
      </c>
      <c r="D56" s="76" t="s">
        <v>304</v>
      </c>
      <c r="E56" s="84" t="s">
        <v>2</v>
      </c>
      <c r="F56" s="76"/>
      <c r="G56" s="76"/>
      <c r="H56" s="79"/>
    </row>
    <row r="57" spans="1:9" s="2" customFormat="1" ht="12.95" customHeight="1" x14ac:dyDescent="0.6">
      <c r="A57" s="81">
        <f>HYPERLINK("https://bluetooth.atlassian.net/browse/ES-15344",15344)</f>
        <v>15344</v>
      </c>
      <c r="B57" s="74" t="s">
        <v>221</v>
      </c>
      <c r="C57" s="74" t="s">
        <v>552</v>
      </c>
      <c r="D57" s="74" t="s">
        <v>304</v>
      </c>
      <c r="E57" s="82" t="s">
        <v>2</v>
      </c>
      <c r="F57" s="74"/>
      <c r="G57" s="74"/>
      <c r="H57" s="78"/>
    </row>
    <row r="58" spans="1:9" s="2" customFormat="1" ht="12.95" customHeight="1" x14ac:dyDescent="0.6">
      <c r="A58" s="83">
        <f>HYPERLINK("https://bluetooth.atlassian.net/browse/ES-15345",15345)</f>
        <v>15345</v>
      </c>
      <c r="B58" s="76" t="s">
        <v>221</v>
      </c>
      <c r="C58" s="76" t="s">
        <v>553</v>
      </c>
      <c r="D58" s="76" t="s">
        <v>304</v>
      </c>
      <c r="E58" s="84" t="s">
        <v>2</v>
      </c>
      <c r="F58" s="76"/>
      <c r="G58" s="76"/>
      <c r="H58" s="79"/>
    </row>
    <row r="59" spans="1:9" s="2" customFormat="1" ht="12.95" customHeight="1" x14ac:dyDescent="0.6">
      <c r="A59" s="81">
        <f>HYPERLINK("https://bluetooth.atlassian.net/browse/ES-15346",15346)</f>
        <v>15346</v>
      </c>
      <c r="B59" s="74" t="s">
        <v>221</v>
      </c>
      <c r="C59" s="74" t="s">
        <v>554</v>
      </c>
      <c r="D59" s="74" t="s">
        <v>304</v>
      </c>
      <c r="E59" s="82" t="s">
        <v>2</v>
      </c>
      <c r="F59" s="74"/>
      <c r="G59" s="74"/>
      <c r="H59" s="78"/>
    </row>
    <row r="60" spans="1:9" s="2" customFormat="1" ht="12.95" customHeight="1" x14ac:dyDescent="0.6">
      <c r="A60" s="83">
        <f>HYPERLINK("https://bluetooth.atlassian.net/browse/ES-15347",15347)</f>
        <v>15347</v>
      </c>
      <c r="B60" s="76" t="s">
        <v>221</v>
      </c>
      <c r="C60" s="76" t="s">
        <v>555</v>
      </c>
      <c r="D60" s="76" t="s">
        <v>304</v>
      </c>
      <c r="E60" s="84" t="s">
        <v>2</v>
      </c>
      <c r="F60" s="76"/>
      <c r="G60" s="76"/>
      <c r="H60" s="79"/>
    </row>
    <row r="61" spans="1:9" s="2" customFormat="1" ht="12.95" customHeight="1" x14ac:dyDescent="0.6">
      <c r="A61" s="81">
        <f>HYPERLINK("https://bluetooth.atlassian.net/browse/ES-15350",15350)</f>
        <v>15350</v>
      </c>
      <c r="B61" s="74" t="s">
        <v>221</v>
      </c>
      <c r="C61" s="74" t="s">
        <v>549</v>
      </c>
      <c r="D61" s="74" t="s">
        <v>304</v>
      </c>
      <c r="E61" s="82" t="s">
        <v>2</v>
      </c>
      <c r="F61" s="74"/>
      <c r="G61" s="74"/>
      <c r="H61" s="78"/>
    </row>
    <row r="62" spans="1:9" s="2" customFormat="1" ht="12.95" customHeight="1" x14ac:dyDescent="0.6">
      <c r="A62" s="83">
        <f>HYPERLINK("https://bluetooth.atlassian.net/browse/ES-15351",15351)</f>
        <v>15351</v>
      </c>
      <c r="B62" s="76" t="s">
        <v>221</v>
      </c>
      <c r="C62" s="76" t="s">
        <v>550</v>
      </c>
      <c r="D62" s="76" t="s">
        <v>304</v>
      </c>
      <c r="E62" s="84" t="s">
        <v>2</v>
      </c>
      <c r="F62" s="76"/>
      <c r="G62" s="76"/>
      <c r="H62" s="79"/>
    </row>
    <row r="63" spans="1:9" s="2" customFormat="1" ht="12.95" customHeight="1" x14ac:dyDescent="0.6">
      <c r="A63" s="81">
        <f>HYPERLINK("https://bluetooth.atlassian.net/browse/ES-15352",15352)</f>
        <v>15352</v>
      </c>
      <c r="B63" s="74" t="s">
        <v>221</v>
      </c>
      <c r="C63" s="74" t="s">
        <v>551</v>
      </c>
      <c r="D63" s="74" t="s">
        <v>304</v>
      </c>
      <c r="E63" s="82" t="s">
        <v>2</v>
      </c>
      <c r="F63" s="74"/>
      <c r="G63" s="74"/>
      <c r="H63" s="78"/>
    </row>
    <row r="64" spans="1:9" s="2" customFormat="1" ht="12.95" customHeight="1" x14ac:dyDescent="0.6">
      <c r="A64" s="83">
        <f>HYPERLINK("https://bluetooth.atlassian.net/browse/ES-15353",15353)</f>
        <v>15353</v>
      </c>
      <c r="B64" s="76" t="s">
        <v>221</v>
      </c>
      <c r="C64" s="76" t="s">
        <v>548</v>
      </c>
      <c r="D64" s="76" t="s">
        <v>304</v>
      </c>
      <c r="E64" s="84" t="s">
        <v>2</v>
      </c>
      <c r="F64" s="76"/>
      <c r="G64" s="76"/>
      <c r="H64" s="79"/>
    </row>
    <row r="65" spans="1:8" s="2" customFormat="1" ht="12.95" customHeight="1" x14ac:dyDescent="0.6">
      <c r="A65" s="81">
        <f>HYPERLINK("https://bluetooth.atlassian.net/browse/ES-15355",15355)</f>
        <v>15355</v>
      </c>
      <c r="B65" s="74" t="s">
        <v>221</v>
      </c>
      <c r="C65" s="74" t="s">
        <v>227</v>
      </c>
      <c r="D65" s="74" t="s">
        <v>304</v>
      </c>
      <c r="E65" s="82" t="s">
        <v>2</v>
      </c>
      <c r="F65" s="74"/>
      <c r="G65" s="74"/>
      <c r="H65" s="78"/>
    </row>
    <row r="66" spans="1:8" s="2" customFormat="1" ht="12.95" customHeight="1" x14ac:dyDescent="0.6">
      <c r="A66" s="83">
        <f>HYPERLINK("https://bluetooth.atlassian.net/browse/ES-15356",15356)</f>
        <v>15356</v>
      </c>
      <c r="B66" s="76" t="s">
        <v>221</v>
      </c>
      <c r="C66" s="76" t="s">
        <v>547</v>
      </c>
      <c r="D66" s="76" t="s">
        <v>304</v>
      </c>
      <c r="E66" s="84" t="s">
        <v>2</v>
      </c>
      <c r="F66" s="76"/>
      <c r="G66" s="76"/>
      <c r="H66" s="79"/>
    </row>
    <row r="67" spans="1:8" s="2" customFormat="1" ht="12.95" customHeight="1" x14ac:dyDescent="0.6">
      <c r="A67" s="81">
        <f>HYPERLINK("https://bluetooth.atlassian.net/browse/ES-15357",15357)</f>
        <v>15357</v>
      </c>
      <c r="B67" s="74" t="s">
        <v>221</v>
      </c>
      <c r="C67" s="74" t="s">
        <v>228</v>
      </c>
      <c r="D67" s="74" t="s">
        <v>304</v>
      </c>
      <c r="E67" s="82" t="s">
        <v>2</v>
      </c>
      <c r="F67" s="74"/>
      <c r="G67" s="74"/>
      <c r="H67" s="78"/>
    </row>
    <row r="68" spans="1:8" s="2" customFormat="1" ht="12.95" customHeight="1" x14ac:dyDescent="0.6">
      <c r="A68" s="83">
        <f>HYPERLINK("https://bluetooth.atlassian.net/browse/ES-15362",15362)</f>
        <v>15362</v>
      </c>
      <c r="B68" s="76" t="s">
        <v>221</v>
      </c>
      <c r="C68" s="76" t="s">
        <v>233</v>
      </c>
      <c r="D68" s="76" t="s">
        <v>304</v>
      </c>
      <c r="E68" s="84" t="s">
        <v>2</v>
      </c>
      <c r="F68" s="76"/>
      <c r="G68" s="76"/>
      <c r="H68" s="79"/>
    </row>
    <row r="69" spans="1:8" s="2" customFormat="1" ht="12.95" customHeight="1" x14ac:dyDescent="0.6">
      <c r="A69" s="81">
        <f>HYPERLINK("https://bluetooth.atlassian.net/browse/ES-15363",15363)</f>
        <v>15363</v>
      </c>
      <c r="B69" s="74" t="s">
        <v>221</v>
      </c>
      <c r="C69" s="74" t="s">
        <v>234</v>
      </c>
      <c r="D69" s="74" t="s">
        <v>304</v>
      </c>
      <c r="E69" s="82" t="s">
        <v>2</v>
      </c>
      <c r="F69" s="74"/>
      <c r="G69" s="74"/>
      <c r="H69" s="78"/>
    </row>
    <row r="70" spans="1:8" s="2" customFormat="1" ht="12.95" customHeight="1" x14ac:dyDescent="0.6">
      <c r="A70" s="83">
        <f>HYPERLINK("https://bluetooth.atlassian.net/browse/ES-15368",15368)</f>
        <v>15368</v>
      </c>
      <c r="B70" s="76" t="s">
        <v>221</v>
      </c>
      <c r="C70" s="76" t="s">
        <v>235</v>
      </c>
      <c r="D70" s="76" t="s">
        <v>304</v>
      </c>
      <c r="E70" s="84" t="s">
        <v>2</v>
      </c>
      <c r="F70" s="76"/>
      <c r="G70" s="76"/>
      <c r="H70" s="79"/>
    </row>
    <row r="71" spans="1:8" s="2" customFormat="1" ht="12.95" customHeight="1" x14ac:dyDescent="0.6">
      <c r="A71" s="81">
        <f>HYPERLINK("https://bluetooth.atlassian.net/browse/ES-15389",15389)</f>
        <v>15389</v>
      </c>
      <c r="B71" s="74" t="s">
        <v>221</v>
      </c>
      <c r="C71" s="74" t="s">
        <v>237</v>
      </c>
      <c r="D71" s="74" t="s">
        <v>304</v>
      </c>
      <c r="E71" s="82" t="s">
        <v>2</v>
      </c>
      <c r="F71" s="74"/>
      <c r="G71" s="74"/>
      <c r="H71" s="78"/>
    </row>
    <row r="72" spans="1:8" s="2" customFormat="1" ht="12.95" customHeight="1" x14ac:dyDescent="0.6">
      <c r="A72" s="83">
        <f>HYPERLINK("https://bluetooth.atlassian.net/browse/ES-15343",15343)</f>
        <v>15343</v>
      </c>
      <c r="B72" s="76" t="s">
        <v>221</v>
      </c>
      <c r="C72" s="76" t="s">
        <v>556</v>
      </c>
      <c r="D72" s="76" t="s">
        <v>304</v>
      </c>
      <c r="E72" s="84" t="s">
        <v>2</v>
      </c>
      <c r="F72" s="76"/>
      <c r="G72" s="76"/>
      <c r="H72" s="79"/>
    </row>
    <row r="73" spans="1:8" s="2" customFormat="1" ht="12.95" customHeight="1" x14ac:dyDescent="0.6">
      <c r="A73" s="81">
        <f>HYPERLINK("https://bluetooth.atlassian.net/browse/ES-12064",12064)</f>
        <v>12064</v>
      </c>
      <c r="B73" s="74" t="s">
        <v>8</v>
      </c>
      <c r="C73" s="74" t="s">
        <v>34</v>
      </c>
      <c r="D73" s="74" t="s">
        <v>304</v>
      </c>
      <c r="E73" s="82" t="s">
        <v>2</v>
      </c>
      <c r="F73" s="74"/>
      <c r="G73" s="74"/>
      <c r="H73" s="78" t="s">
        <v>204</v>
      </c>
    </row>
    <row r="74" spans="1:8" s="2" customFormat="1" ht="26" x14ac:dyDescent="0.6">
      <c r="A74" s="83">
        <f>HYPERLINK("https://bluetooth.atlassian.net/browse/ES-15064",15064)</f>
        <v>15064</v>
      </c>
      <c r="B74" s="76" t="s">
        <v>187</v>
      </c>
      <c r="C74" s="76" t="s">
        <v>400</v>
      </c>
      <c r="D74" s="76" t="s">
        <v>305</v>
      </c>
      <c r="E74" s="84" t="s">
        <v>1</v>
      </c>
      <c r="F74" s="76">
        <v>2</v>
      </c>
      <c r="G74" s="88">
        <f>HYPERLINK("https://bluetooth.atlassian.net/browse/ES-15628",15628)</f>
        <v>15628</v>
      </c>
      <c r="H74" s="80" t="s">
        <v>1117</v>
      </c>
    </row>
    <row r="75" spans="1:8" s="2" customFormat="1" ht="12.95" customHeight="1" x14ac:dyDescent="0.6">
      <c r="A75" s="81">
        <f>HYPERLINK("https://bluetooth.atlassian.net/browse/ES-15498",15498)</f>
        <v>15498</v>
      </c>
      <c r="B75" s="74" t="s">
        <v>187</v>
      </c>
      <c r="C75" s="74" t="s">
        <v>372</v>
      </c>
      <c r="D75" s="74" t="s">
        <v>307</v>
      </c>
      <c r="E75" s="82" t="s">
        <v>1</v>
      </c>
      <c r="F75" s="74">
        <v>4</v>
      </c>
      <c r="G75" s="87">
        <f>HYPERLINK("https://bluetooth.atlassian.net/browse/ES-15689",15689)</f>
        <v>15689</v>
      </c>
      <c r="H75" s="78" t="s">
        <v>1118</v>
      </c>
    </row>
    <row r="76" spans="1:8" s="2" customFormat="1" ht="26" x14ac:dyDescent="0.6">
      <c r="A76" s="83">
        <f>HYPERLINK("https://bluetooth.atlassian.net/browse/ES-11293",11293)</f>
        <v>11293</v>
      </c>
      <c r="B76" s="76" t="s">
        <v>15</v>
      </c>
      <c r="C76" s="76" t="s">
        <v>575</v>
      </c>
      <c r="D76" s="76" t="s">
        <v>307</v>
      </c>
      <c r="E76" s="84" t="s">
        <v>1</v>
      </c>
      <c r="F76" s="76">
        <v>4</v>
      </c>
      <c r="G76" s="88">
        <f>HYPERLINK("https://bluetooth.atlassian.net/browse/ES-15594",15594)</f>
        <v>15594</v>
      </c>
      <c r="H76" s="80" t="s">
        <v>1119</v>
      </c>
    </row>
    <row r="77" spans="1:8" s="2" customFormat="1" ht="13" x14ac:dyDescent="0.6">
      <c r="A77" s="81">
        <f>HYPERLINK("https://bluetooth.atlassian.net/browse/ES-12725",12725)</f>
        <v>12725</v>
      </c>
      <c r="B77" s="74" t="s">
        <v>44</v>
      </c>
      <c r="C77" s="74" t="s">
        <v>470</v>
      </c>
      <c r="D77" s="74" t="s">
        <v>305</v>
      </c>
      <c r="E77" s="82" t="s">
        <v>1</v>
      </c>
      <c r="F77" s="74">
        <v>1</v>
      </c>
      <c r="G77" s="87">
        <f>HYPERLINK("https://bluetooth.atlassian.net/browse/ES-13090",13090)</f>
        <v>13090</v>
      </c>
      <c r="H77" s="78" t="s">
        <v>1120</v>
      </c>
    </row>
    <row r="78" spans="1:8" s="2" customFormat="1" ht="13" x14ac:dyDescent="0.6">
      <c r="A78" s="83">
        <f>HYPERLINK("https://bluetooth.atlassian.net/browse/ES-11787",11787)</f>
        <v>11787</v>
      </c>
      <c r="B78" s="76" t="s">
        <v>26</v>
      </c>
      <c r="C78" s="76" t="s">
        <v>461</v>
      </c>
      <c r="D78" s="76" t="s">
        <v>305</v>
      </c>
      <c r="E78" s="84" t="s">
        <v>1</v>
      </c>
      <c r="F78" s="76">
        <v>4</v>
      </c>
      <c r="G78" s="88">
        <f>HYPERLINK("https://bluetooth.atlassian.net/browse/ES-15521",15521)</f>
        <v>15521</v>
      </c>
      <c r="H78" s="80" t="s">
        <v>1121</v>
      </c>
    </row>
    <row r="79" spans="1:8" s="2" customFormat="1" ht="26" x14ac:dyDescent="0.6">
      <c r="A79" s="81">
        <f>HYPERLINK("https://bluetooth.atlassian.net/browse/ES-12322",12322)</f>
        <v>12322</v>
      </c>
      <c r="B79" s="74" t="s">
        <v>44</v>
      </c>
      <c r="C79" s="74" t="s">
        <v>467</v>
      </c>
      <c r="D79" s="74" t="s">
        <v>307</v>
      </c>
      <c r="E79" s="82" t="s">
        <v>1</v>
      </c>
      <c r="F79" s="74">
        <v>4</v>
      </c>
      <c r="G79" s="87">
        <f>HYPERLINK("https://bluetooth.atlassian.net/browse/ES-14861",14861)</f>
        <v>14861</v>
      </c>
      <c r="H79" s="78" t="s">
        <v>1122</v>
      </c>
    </row>
    <row r="80" spans="1:8" s="2" customFormat="1" ht="13" x14ac:dyDescent="0.6">
      <c r="A80" s="83">
        <f>HYPERLINK("https://bluetooth.atlassian.net/browse/ES-12973",12973)</f>
        <v>12973</v>
      </c>
      <c r="B80" s="76" t="s">
        <v>44</v>
      </c>
      <c r="C80" s="76" t="s">
        <v>68</v>
      </c>
      <c r="D80" s="76" t="s">
        <v>304</v>
      </c>
      <c r="E80" s="84" t="s">
        <v>2</v>
      </c>
      <c r="F80" s="76"/>
      <c r="G80" s="76"/>
      <c r="H80" s="79" t="s">
        <v>204</v>
      </c>
    </row>
    <row r="81" spans="1:8" s="2" customFormat="1" ht="13" x14ac:dyDescent="0.6">
      <c r="A81" s="81">
        <f>HYPERLINK("https://bluetooth.atlassian.net/browse/ES-13162",13162)</f>
        <v>13162</v>
      </c>
      <c r="B81" s="74" t="s">
        <v>44</v>
      </c>
      <c r="C81" s="74" t="s">
        <v>485</v>
      </c>
      <c r="D81" s="74" t="s">
        <v>305</v>
      </c>
      <c r="E81" s="82" t="s">
        <v>2</v>
      </c>
      <c r="F81" s="74"/>
      <c r="G81" s="74"/>
      <c r="H81" s="78" t="s">
        <v>204</v>
      </c>
    </row>
    <row r="82" spans="1:8" s="2" customFormat="1" ht="26" x14ac:dyDescent="0.6">
      <c r="A82" s="83">
        <f>HYPERLINK("https://bluetooth.atlassian.net/browse/ES-13407",13407)</f>
        <v>13407</v>
      </c>
      <c r="B82" s="76" t="s">
        <v>118</v>
      </c>
      <c r="C82" s="76" t="s">
        <v>450</v>
      </c>
      <c r="D82" s="76" t="s">
        <v>305</v>
      </c>
      <c r="E82" s="84" t="s">
        <v>1</v>
      </c>
      <c r="F82" s="76">
        <v>3</v>
      </c>
      <c r="G82" s="88">
        <f>HYPERLINK("https://bluetooth.atlassian.net/browse/ES-13585",13585)</f>
        <v>13585</v>
      </c>
      <c r="H82" s="80" t="s">
        <v>1123</v>
      </c>
    </row>
    <row r="83" spans="1:8" s="2" customFormat="1" ht="13" x14ac:dyDescent="0.6">
      <c r="A83" s="81">
        <f>HYPERLINK("https://bluetooth.atlassian.net/browse/ES-13335",13335)</f>
        <v>13335</v>
      </c>
      <c r="B83" s="74" t="s">
        <v>118</v>
      </c>
      <c r="C83" s="74" t="s">
        <v>119</v>
      </c>
      <c r="D83" s="74" t="s">
        <v>305</v>
      </c>
      <c r="E83" s="82" t="s">
        <v>1</v>
      </c>
      <c r="F83" s="74">
        <v>4</v>
      </c>
      <c r="G83" s="87">
        <f>HYPERLINK("https://bluetooth.atlassian.net/browse/ES-15026",15026)</f>
        <v>15026</v>
      </c>
      <c r="H83" s="78" t="s">
        <v>1124</v>
      </c>
    </row>
    <row r="84" spans="1:8" s="2" customFormat="1" ht="13" x14ac:dyDescent="0.6">
      <c r="A84" s="83">
        <f>HYPERLINK("https://bluetooth.atlassian.net/browse/ES-13425",13425)</f>
        <v>13425</v>
      </c>
      <c r="B84" s="76" t="s">
        <v>118</v>
      </c>
      <c r="C84" s="76" t="s">
        <v>447</v>
      </c>
      <c r="D84" s="76" t="s">
        <v>305</v>
      </c>
      <c r="E84" s="84" t="s">
        <v>1</v>
      </c>
      <c r="F84" s="76">
        <v>4</v>
      </c>
      <c r="G84" s="88">
        <f>HYPERLINK("https://bluetooth.atlassian.net/browse/ES-13341",13341)</f>
        <v>13341</v>
      </c>
      <c r="H84" s="79" t="s">
        <v>1125</v>
      </c>
    </row>
    <row r="85" spans="1:8" s="2" customFormat="1" ht="26" x14ac:dyDescent="0.6">
      <c r="A85" s="81">
        <f>HYPERLINK("https://bluetooth.atlassian.net/browse/ES-15255",15255)</f>
        <v>15255</v>
      </c>
      <c r="B85" s="74" t="s">
        <v>118</v>
      </c>
      <c r="C85" s="74" t="s">
        <v>389</v>
      </c>
      <c r="D85" s="74" t="s">
        <v>305</v>
      </c>
      <c r="E85" s="82" t="s">
        <v>1</v>
      </c>
      <c r="F85" s="74">
        <v>4</v>
      </c>
      <c r="G85" s="87">
        <f>HYPERLINK("https://bluetooth.atlassian.net/browse/ES-15915",15915)</f>
        <v>15915</v>
      </c>
      <c r="H85" s="78" t="s">
        <v>1126</v>
      </c>
    </row>
    <row r="86" spans="1:8" s="2" customFormat="1" ht="13" x14ac:dyDescent="0.6">
      <c r="A86" s="83">
        <f>HYPERLINK("https://bluetooth.atlassian.net/browse/ES-15384",15384)</f>
        <v>15384</v>
      </c>
      <c r="B86" s="76" t="s">
        <v>118</v>
      </c>
      <c r="C86" s="76" t="s">
        <v>380</v>
      </c>
      <c r="D86" s="76" t="s">
        <v>305</v>
      </c>
      <c r="E86" s="84" t="s">
        <v>1</v>
      </c>
      <c r="F86" s="76">
        <v>4</v>
      </c>
      <c r="G86" s="88">
        <f>HYPERLINK("https://bluetooth.atlassian.net/browse/ES-15919",15919)</f>
        <v>15919</v>
      </c>
      <c r="H86" s="79" t="s">
        <v>1127</v>
      </c>
    </row>
    <row r="87" spans="1:8" s="2" customFormat="1" ht="26" x14ac:dyDescent="0.6">
      <c r="A87" s="81">
        <f>HYPERLINK("https://bluetooth.atlassian.net/browse/ES-15385",15385)</f>
        <v>15385</v>
      </c>
      <c r="B87" s="74" t="s">
        <v>118</v>
      </c>
      <c r="C87" s="74" t="s">
        <v>379</v>
      </c>
      <c r="D87" s="74" t="s">
        <v>305</v>
      </c>
      <c r="E87" s="82" t="s">
        <v>1</v>
      </c>
      <c r="F87" s="74">
        <v>4</v>
      </c>
      <c r="G87" s="87">
        <f>HYPERLINK("https://bluetooth.atlassian.net/browse/ES-15601",15601)</f>
        <v>15601</v>
      </c>
      <c r="H87" s="78" t="s">
        <v>1128</v>
      </c>
    </row>
    <row r="88" spans="1:8" s="2" customFormat="1" ht="13" x14ac:dyDescent="0.6">
      <c r="A88" s="83">
        <f>HYPERLINK("https://bluetooth.atlassian.net/browse/ES-15314",15314)</f>
        <v>15314</v>
      </c>
      <c r="B88" s="76" t="s">
        <v>118</v>
      </c>
      <c r="C88" s="76" t="s">
        <v>384</v>
      </c>
      <c r="D88" s="76" t="s">
        <v>307</v>
      </c>
      <c r="E88" s="84" t="s">
        <v>1</v>
      </c>
      <c r="F88" s="76">
        <v>4</v>
      </c>
      <c r="G88" s="88">
        <f>HYPERLINK("https://bluetooth.atlassian.net/browse/ES-15078",15078)</f>
        <v>15078</v>
      </c>
      <c r="H88" s="80" t="s">
        <v>1129</v>
      </c>
    </row>
    <row r="89" spans="1:8" s="2" customFormat="1" ht="13" x14ac:dyDescent="0.6">
      <c r="A89" s="81">
        <f>HYPERLINK("https://bluetooth.atlassian.net/browse/ES-16471 ",16471)</f>
        <v>16471</v>
      </c>
      <c r="B89" s="74" t="s">
        <v>118</v>
      </c>
      <c r="C89" s="74" t="s">
        <v>508</v>
      </c>
      <c r="D89" s="74" t="s">
        <v>307</v>
      </c>
      <c r="E89" s="82" t="s">
        <v>1</v>
      </c>
      <c r="F89" s="74">
        <v>4</v>
      </c>
      <c r="G89" s="87">
        <f>HYPERLINK("https://bluetooth.atlassian.net/browse/ES-15919",15919)</f>
        <v>15919</v>
      </c>
      <c r="H89" s="78" t="s">
        <v>1127</v>
      </c>
    </row>
    <row r="90" spans="1:8" s="2" customFormat="1" ht="13" x14ac:dyDescent="0.6">
      <c r="A90" s="83">
        <f>HYPERLINK("https://bluetooth.atlassian.net/browse/ES-13336",13336)</f>
        <v>13336</v>
      </c>
      <c r="B90" s="76" t="s">
        <v>118</v>
      </c>
      <c r="C90" s="76" t="s">
        <v>456</v>
      </c>
      <c r="D90" s="76" t="s">
        <v>305</v>
      </c>
      <c r="E90" s="84" t="s">
        <v>1</v>
      </c>
      <c r="F90" s="76">
        <v>4</v>
      </c>
      <c r="G90" s="88">
        <f>HYPERLINK("https://bluetooth.atlassian.net/browse/ES-14953",14953)</f>
        <v>14953</v>
      </c>
      <c r="H90" s="79" t="s">
        <v>1130</v>
      </c>
    </row>
    <row r="91" spans="1:8" s="2" customFormat="1" ht="13" x14ac:dyDescent="0.6">
      <c r="A91" s="81">
        <f>HYPERLINK("https://bluetooth.atlassian.net/browse/ES-15546",15546)</f>
        <v>15546</v>
      </c>
      <c r="B91" s="74" t="s">
        <v>118</v>
      </c>
      <c r="C91" s="74" t="s">
        <v>369</v>
      </c>
      <c r="D91" s="74" t="s">
        <v>304</v>
      </c>
      <c r="E91" s="82" t="s">
        <v>2</v>
      </c>
      <c r="F91" s="74"/>
      <c r="G91" s="74"/>
      <c r="H91" s="78"/>
    </row>
    <row r="92" spans="1:8" s="2" customFormat="1" ht="13" x14ac:dyDescent="0.6">
      <c r="A92" s="83">
        <f>HYPERLINK("https://bluetooth.atlassian.net/browse/ES-16557 ",16557)</f>
        <v>16557</v>
      </c>
      <c r="B92" s="76" t="s">
        <v>118</v>
      </c>
      <c r="C92" s="76" t="s">
        <v>522</v>
      </c>
      <c r="D92" s="76" t="s">
        <v>304</v>
      </c>
      <c r="E92" s="84" t="s">
        <v>2</v>
      </c>
      <c r="F92" s="76"/>
      <c r="G92" s="76"/>
      <c r="H92" s="79"/>
    </row>
    <row r="93" spans="1:8" s="2" customFormat="1" ht="13" x14ac:dyDescent="0.6">
      <c r="A93" s="81">
        <f>HYPERLINK("https://bluetooth.atlassian.net/browse/ES-13406",13406)</f>
        <v>13406</v>
      </c>
      <c r="B93" s="74" t="s">
        <v>118</v>
      </c>
      <c r="C93" s="74" t="s">
        <v>123</v>
      </c>
      <c r="D93" s="74" t="s">
        <v>305</v>
      </c>
      <c r="E93" s="82" t="s">
        <v>2</v>
      </c>
      <c r="F93" s="74"/>
      <c r="G93" s="74"/>
      <c r="H93" s="78"/>
    </row>
    <row r="94" spans="1:8" s="2" customFormat="1" ht="13" x14ac:dyDescent="0.6">
      <c r="A94" s="83">
        <f>HYPERLINK("https://bluetooth.atlassian.net/browse/ES-14797",14797)</f>
        <v>14797</v>
      </c>
      <c r="B94" s="76" t="s">
        <v>118</v>
      </c>
      <c r="C94" s="76" t="s">
        <v>161</v>
      </c>
      <c r="D94" s="76" t="s">
        <v>305</v>
      </c>
      <c r="E94" s="84" t="s">
        <v>2</v>
      </c>
      <c r="F94" s="76"/>
      <c r="G94" s="76"/>
      <c r="H94" s="79" t="s">
        <v>204</v>
      </c>
    </row>
    <row r="95" spans="1:8" s="2" customFormat="1" ht="13" x14ac:dyDescent="0.6">
      <c r="A95" s="81">
        <f>HYPERLINK("https://bluetooth.atlassian.net/browse/ES-15006",15006)</f>
        <v>15006</v>
      </c>
      <c r="B95" s="74" t="s">
        <v>118</v>
      </c>
      <c r="C95" s="74" t="s">
        <v>407</v>
      </c>
      <c r="D95" s="74" t="s">
        <v>305</v>
      </c>
      <c r="E95" s="82" t="s">
        <v>2</v>
      </c>
      <c r="F95" s="74"/>
      <c r="G95" s="74"/>
      <c r="H95" s="78" t="s">
        <v>204</v>
      </c>
    </row>
    <row r="96" spans="1:8" s="2" customFormat="1" ht="13" x14ac:dyDescent="0.6">
      <c r="A96" s="83">
        <f>HYPERLINK("https://bluetooth.atlassian.net/browse/ES-15400",15400)</f>
        <v>15400</v>
      </c>
      <c r="B96" s="76" t="s">
        <v>118</v>
      </c>
      <c r="C96" s="76" t="s">
        <v>269</v>
      </c>
      <c r="D96" s="76" t="s">
        <v>305</v>
      </c>
      <c r="E96" s="84" t="s">
        <v>2</v>
      </c>
      <c r="F96" s="76"/>
      <c r="G96" s="76"/>
      <c r="H96" s="79"/>
    </row>
    <row r="97" spans="1:8" s="2" customFormat="1" ht="13" x14ac:dyDescent="0.6">
      <c r="A97" s="81">
        <f>HYPERLINK("https://bluetooth.atlassian.net/browse/ES-15403",15403)</f>
        <v>15403</v>
      </c>
      <c r="B97" s="74" t="s">
        <v>118</v>
      </c>
      <c r="C97" s="74" t="s">
        <v>378</v>
      </c>
      <c r="D97" s="74" t="s">
        <v>305</v>
      </c>
      <c r="E97" s="82" t="s">
        <v>2</v>
      </c>
      <c r="F97" s="74"/>
      <c r="G97" s="74"/>
      <c r="H97" s="78"/>
    </row>
    <row r="98" spans="1:8" s="2" customFormat="1" ht="13" x14ac:dyDescent="0.6">
      <c r="A98" s="83">
        <f>HYPERLINK("https://bluetooth.atlassian.net/browse/ES-16266",16266)</f>
        <v>16266</v>
      </c>
      <c r="B98" s="76" t="s">
        <v>118</v>
      </c>
      <c r="C98" s="76" t="s">
        <v>345</v>
      </c>
      <c r="D98" s="76" t="s">
        <v>305</v>
      </c>
      <c r="E98" s="84" t="s">
        <v>2</v>
      </c>
      <c r="F98" s="76"/>
      <c r="G98" s="76"/>
      <c r="H98" s="79"/>
    </row>
    <row r="99" spans="1:8" s="2" customFormat="1" ht="13" x14ac:dyDescent="0.6">
      <c r="A99" s="81">
        <f>HYPERLINK("https://bluetooth.atlassian.net/browse/ES-16310",16310)</f>
        <v>16310</v>
      </c>
      <c r="B99" s="74" t="s">
        <v>118</v>
      </c>
      <c r="C99" s="74" t="s">
        <v>343</v>
      </c>
      <c r="D99" s="74" t="s">
        <v>305</v>
      </c>
      <c r="E99" s="82" t="s">
        <v>2</v>
      </c>
      <c r="F99" s="74"/>
      <c r="G99" s="74"/>
      <c r="H99" s="78"/>
    </row>
    <row r="100" spans="1:8" s="2" customFormat="1" ht="13" x14ac:dyDescent="0.6">
      <c r="A100" s="83">
        <f>HYPERLINK("https://bluetooth.atlassian.net/browse/ES-16536 ",16536)</f>
        <v>16536</v>
      </c>
      <c r="B100" s="76" t="s">
        <v>118</v>
      </c>
      <c r="C100" s="76" t="s">
        <v>516</v>
      </c>
      <c r="D100" s="76" t="s">
        <v>307</v>
      </c>
      <c r="E100" s="84" t="s">
        <v>2</v>
      </c>
      <c r="F100" s="76"/>
      <c r="G100" s="76"/>
      <c r="H100" s="79"/>
    </row>
    <row r="101" spans="1:8" s="2" customFormat="1" ht="26" x14ac:dyDescent="0.6">
      <c r="A101" s="81">
        <f>HYPERLINK("https://bluetooth.atlassian.net/browse/ES-15871",15871)</f>
        <v>15871</v>
      </c>
      <c r="B101" s="74" t="s">
        <v>118</v>
      </c>
      <c r="C101" s="74" t="s">
        <v>354</v>
      </c>
      <c r="D101" s="74" t="s">
        <v>307</v>
      </c>
      <c r="E101" s="82" t="s">
        <v>2</v>
      </c>
      <c r="F101" s="74"/>
      <c r="G101" s="74"/>
      <c r="H101" s="78"/>
    </row>
    <row r="102" spans="1:8" s="2" customFormat="1" ht="12.95" customHeight="1" x14ac:dyDescent="0.6">
      <c r="A102" s="83">
        <f>HYPERLINK("https://bluetooth.atlassian.net/browse/ES-10306 ",10306)</f>
        <v>10306</v>
      </c>
      <c r="B102" s="76" t="s">
        <v>583</v>
      </c>
      <c r="C102" s="76" t="s">
        <v>582</v>
      </c>
      <c r="D102" s="76" t="s">
        <v>304</v>
      </c>
      <c r="E102" s="84" t="s">
        <v>2</v>
      </c>
      <c r="F102" s="76"/>
      <c r="G102" s="76"/>
      <c r="H102" s="79"/>
    </row>
    <row r="103" spans="1:8" s="2" customFormat="1" ht="12.95" customHeight="1" x14ac:dyDescent="0.6">
      <c r="A103" s="81">
        <f>HYPERLINK("https://bluetooth.atlassian.net/browse/ES-16843",16843)</f>
        <v>16843</v>
      </c>
      <c r="B103" s="74" t="s">
        <v>158</v>
      </c>
      <c r="C103" s="74" t="s">
        <v>611</v>
      </c>
      <c r="D103" s="74" t="s">
        <v>304</v>
      </c>
      <c r="E103" s="82" t="s">
        <v>2</v>
      </c>
      <c r="F103" s="74"/>
      <c r="G103" s="74"/>
      <c r="H103" s="78"/>
    </row>
    <row r="104" spans="1:8" s="2" customFormat="1" ht="12.95" customHeight="1" x14ac:dyDescent="0.6">
      <c r="A104" s="83">
        <f>HYPERLINK("https://bluetooth.atlassian.net/browse/ES-16906",16906)</f>
        <v>16906</v>
      </c>
      <c r="B104" s="76" t="s">
        <v>158</v>
      </c>
      <c r="C104" s="76" t="s">
        <v>610</v>
      </c>
      <c r="D104" s="76" t="s">
        <v>304</v>
      </c>
      <c r="E104" s="84" t="s">
        <v>2</v>
      </c>
      <c r="F104" s="76"/>
      <c r="G104" s="76"/>
      <c r="H104" s="79"/>
    </row>
    <row r="105" spans="1:8" s="2" customFormat="1" ht="26" x14ac:dyDescent="0.6">
      <c r="A105" s="81">
        <f>HYPERLINK("https://bluetooth.atlassian.net/browse/ES-14670",14670)</f>
        <v>14670</v>
      </c>
      <c r="B105" s="74" t="s">
        <v>158</v>
      </c>
      <c r="C105" s="74" t="s">
        <v>434</v>
      </c>
      <c r="D105" s="74" t="s">
        <v>305</v>
      </c>
      <c r="E105" s="82" t="s">
        <v>2</v>
      </c>
      <c r="F105" s="74"/>
      <c r="G105" s="74"/>
      <c r="H105" s="78"/>
    </row>
    <row r="106" spans="1:8" s="2" customFormat="1" ht="12.95" customHeight="1" x14ac:dyDescent="0.6">
      <c r="A106" s="83">
        <f>HYPERLINK("https://bluetooth.atlassian.net/browse/ES-14773",14773)</f>
        <v>14773</v>
      </c>
      <c r="B106" s="76" t="s">
        <v>158</v>
      </c>
      <c r="C106" s="76" t="s">
        <v>159</v>
      </c>
      <c r="D106" s="76" t="s">
        <v>307</v>
      </c>
      <c r="E106" s="84" t="s">
        <v>2</v>
      </c>
      <c r="F106" s="76"/>
      <c r="G106" s="76"/>
      <c r="H106" s="79" t="s">
        <v>204</v>
      </c>
    </row>
    <row r="107" spans="1:8" s="2" customFormat="1" ht="12.95" customHeight="1" x14ac:dyDescent="0.6">
      <c r="A107" s="81">
        <f>HYPERLINK("https://bluetooth.atlassian.net/browse/ES-11733",11733)</f>
        <v>11733</v>
      </c>
      <c r="B107" s="74" t="s">
        <v>584</v>
      </c>
      <c r="C107" s="74" t="s">
        <v>20</v>
      </c>
      <c r="D107" s="74" t="s">
        <v>305</v>
      </c>
      <c r="E107" s="82" t="s">
        <v>2</v>
      </c>
      <c r="F107" s="74"/>
      <c r="G107" s="74"/>
      <c r="H107" s="78" t="s">
        <v>204</v>
      </c>
    </row>
    <row r="108" spans="1:8" s="2" customFormat="1" ht="12.95" customHeight="1" x14ac:dyDescent="0.6">
      <c r="A108" s="83">
        <f>HYPERLINK("https://bluetooth.atlassian.net/browse/ES-13067",13067)</f>
        <v>13067</v>
      </c>
      <c r="B108" s="76" t="s">
        <v>584</v>
      </c>
      <c r="C108" s="76" t="s">
        <v>479</v>
      </c>
      <c r="D108" s="76" t="s">
        <v>305</v>
      </c>
      <c r="E108" s="84" t="s">
        <v>2</v>
      </c>
      <c r="F108" s="76"/>
      <c r="G108" s="76"/>
      <c r="H108" s="79" t="s">
        <v>204</v>
      </c>
    </row>
    <row r="109" spans="1:8" s="2" customFormat="1" ht="12.95" customHeight="1" x14ac:dyDescent="0.6">
      <c r="A109" s="81">
        <f>HYPERLINK("https://bluetooth.atlassian.net/browse/ES-12526",12526)</f>
        <v>12526</v>
      </c>
      <c r="B109" s="74" t="s">
        <v>584</v>
      </c>
      <c r="C109" s="74" t="s">
        <v>51</v>
      </c>
      <c r="D109" s="74" t="s">
        <v>307</v>
      </c>
      <c r="E109" s="82" t="s">
        <v>2</v>
      </c>
      <c r="F109" s="74"/>
      <c r="G109" s="74"/>
      <c r="H109" s="78" t="s">
        <v>204</v>
      </c>
    </row>
    <row r="110" spans="1:8" s="2" customFormat="1" ht="12.95" customHeight="1" x14ac:dyDescent="0.6">
      <c r="A110" s="83">
        <f>HYPERLINK("https://bluetooth.atlassian.net/browse/ES-15831",15831)</f>
        <v>15831</v>
      </c>
      <c r="B110" s="76" t="s">
        <v>585</v>
      </c>
      <c r="C110" s="76" t="s">
        <v>590</v>
      </c>
      <c r="D110" s="76" t="s">
        <v>307</v>
      </c>
      <c r="E110" s="84" t="s">
        <v>1</v>
      </c>
      <c r="F110" s="76">
        <v>1</v>
      </c>
      <c r="G110" s="88">
        <f>HYPERLINK("https://bluetooth.atlassian.net/browse/ES-16374",16374)</f>
        <v>16374</v>
      </c>
      <c r="H110" s="80" t="s">
        <v>1131</v>
      </c>
    </row>
    <row r="111" spans="1:8" s="2" customFormat="1" ht="26" x14ac:dyDescent="0.6">
      <c r="A111" s="81">
        <f>HYPERLINK("https://bluetooth.atlassian.net/browse/ES-15142",15142)</f>
        <v>15142</v>
      </c>
      <c r="B111" s="74" t="s">
        <v>585</v>
      </c>
      <c r="C111" s="74" t="s">
        <v>395</v>
      </c>
      <c r="D111" s="74" t="s">
        <v>305</v>
      </c>
      <c r="E111" s="82" t="s">
        <v>1</v>
      </c>
      <c r="F111" s="74">
        <v>2</v>
      </c>
      <c r="G111" s="90">
        <v>15177</v>
      </c>
      <c r="H111" s="78" t="s">
        <v>1132</v>
      </c>
    </row>
    <row r="112" spans="1:8" s="2" customFormat="1" ht="26" x14ac:dyDescent="0.6">
      <c r="A112" s="83">
        <f>HYPERLINK("https://bluetooth.atlassian.net/browse/ES-15764",15764)</f>
        <v>15764</v>
      </c>
      <c r="B112" s="76" t="s">
        <v>585</v>
      </c>
      <c r="C112" s="76" t="s">
        <v>357</v>
      </c>
      <c r="D112" s="76" t="s">
        <v>307</v>
      </c>
      <c r="E112" s="84" t="s">
        <v>1</v>
      </c>
      <c r="F112" s="76">
        <v>4</v>
      </c>
      <c r="G112" s="88">
        <f>HYPERLINK("https://bluetooth.atlassian.net/browse/ES-16160",16160)</f>
        <v>16160</v>
      </c>
      <c r="H112" s="80" t="s">
        <v>1133</v>
      </c>
    </row>
    <row r="113" spans="1:11" ht="13" x14ac:dyDescent="0.6">
      <c r="A113" s="81">
        <f>HYPERLINK("https://bluetooth.atlassian.net/browse/ES-15831",15831)</f>
        <v>15831</v>
      </c>
      <c r="B113" s="74" t="s">
        <v>585</v>
      </c>
      <c r="C113" s="74" t="s">
        <v>590</v>
      </c>
      <c r="D113" s="74" t="s">
        <v>307</v>
      </c>
      <c r="E113" s="82" t="s">
        <v>1</v>
      </c>
      <c r="F113" s="74"/>
      <c r="G113" s="74"/>
      <c r="H113" s="78"/>
      <c r="I113" s="2"/>
      <c r="J113" s="2"/>
      <c r="K113" s="2"/>
    </row>
    <row r="114" spans="1:11" ht="13" x14ac:dyDescent="0.6">
      <c r="A114" s="83">
        <f>HYPERLINK("https://bluetooth.atlassian.net/browse/ES-13247",13247)</f>
        <v>13247</v>
      </c>
      <c r="B114" s="76" t="s">
        <v>585</v>
      </c>
      <c r="C114" s="76" t="s">
        <v>102</v>
      </c>
      <c r="D114" s="76" t="s">
        <v>304</v>
      </c>
      <c r="E114" s="84" t="s">
        <v>2</v>
      </c>
      <c r="F114" s="76"/>
      <c r="G114" s="76"/>
      <c r="H114" s="79" t="s">
        <v>204</v>
      </c>
      <c r="I114" s="2"/>
      <c r="J114" s="2"/>
      <c r="K114" s="2"/>
    </row>
    <row r="115" spans="1:11" ht="13" x14ac:dyDescent="0.6">
      <c r="A115" s="81">
        <f>HYPERLINK("https://bluetooth.atlassian.net/browse/ES-13263",13263)</f>
        <v>13263</v>
      </c>
      <c r="B115" s="74" t="s">
        <v>585</v>
      </c>
      <c r="C115" s="74" t="s">
        <v>491</v>
      </c>
      <c r="D115" s="74" t="s">
        <v>304</v>
      </c>
      <c r="E115" s="82" t="s">
        <v>2</v>
      </c>
      <c r="F115" s="74"/>
      <c r="G115" s="74"/>
      <c r="H115" s="78" t="s">
        <v>204</v>
      </c>
      <c r="I115" s="2"/>
      <c r="J115" s="2"/>
      <c r="K115" s="2"/>
    </row>
    <row r="116" spans="1:11" ht="13" x14ac:dyDescent="0.6">
      <c r="A116" s="83">
        <f>HYPERLINK("https://bluetooth.atlassian.net/browse/ES-16179",16179)</f>
        <v>16179</v>
      </c>
      <c r="B116" s="76" t="s">
        <v>585</v>
      </c>
      <c r="C116" s="76" t="s">
        <v>326</v>
      </c>
      <c r="D116" s="76" t="s">
        <v>304</v>
      </c>
      <c r="E116" s="84" t="s">
        <v>2</v>
      </c>
      <c r="F116" s="76"/>
      <c r="G116" s="76"/>
      <c r="H116" s="79"/>
      <c r="I116" s="2"/>
      <c r="J116" s="2"/>
      <c r="K116" s="2"/>
    </row>
    <row r="117" spans="1:11" ht="13" x14ac:dyDescent="0.6">
      <c r="A117" s="81">
        <f>HYPERLINK("https://bluetooth.atlassian.net/browse/ES-13304",13304)</f>
        <v>13304</v>
      </c>
      <c r="B117" s="74" t="s">
        <v>585</v>
      </c>
      <c r="C117" s="74" t="s">
        <v>114</v>
      </c>
      <c r="D117" s="74" t="s">
        <v>305</v>
      </c>
      <c r="E117" s="82" t="s">
        <v>2</v>
      </c>
      <c r="F117" s="74"/>
      <c r="G117" s="74"/>
      <c r="H117" s="78" t="s">
        <v>204</v>
      </c>
      <c r="I117" s="2"/>
      <c r="J117" s="2"/>
      <c r="K117" s="2"/>
    </row>
    <row r="118" spans="1:11" ht="13" x14ac:dyDescent="0.6">
      <c r="A118" s="83">
        <f>HYPERLINK("https://bluetooth.atlassian.net/browse/ES-13307",13307)</f>
        <v>13307</v>
      </c>
      <c r="B118" s="76" t="s">
        <v>585</v>
      </c>
      <c r="C118" s="76" t="s">
        <v>458</v>
      </c>
      <c r="D118" s="76" t="s">
        <v>305</v>
      </c>
      <c r="E118" s="84" t="s">
        <v>2</v>
      </c>
      <c r="F118" s="76"/>
      <c r="G118" s="76"/>
      <c r="H118" s="79" t="s">
        <v>204</v>
      </c>
      <c r="I118" s="2"/>
      <c r="J118" s="2"/>
      <c r="K118" s="2"/>
    </row>
    <row r="119" spans="1:11" ht="13" x14ac:dyDescent="0.6">
      <c r="A119" s="81">
        <f>HYPERLINK("https://bluetooth.atlassian.net/browse/ES-13332",13332)</f>
        <v>13332</v>
      </c>
      <c r="B119" s="74" t="s">
        <v>585</v>
      </c>
      <c r="C119" s="74" t="s">
        <v>117</v>
      </c>
      <c r="D119" s="74" t="s">
        <v>305</v>
      </c>
      <c r="E119" s="82" t="s">
        <v>2</v>
      </c>
      <c r="F119" s="74"/>
      <c r="G119" s="74"/>
      <c r="H119" s="78" t="s">
        <v>204</v>
      </c>
      <c r="I119" s="2"/>
      <c r="J119" s="2"/>
      <c r="K119" s="2"/>
    </row>
    <row r="120" spans="1:11" ht="13" x14ac:dyDescent="0.6">
      <c r="A120" s="83">
        <f>HYPERLINK("https://bluetooth.atlassian.net/browse/ES-13418",13418)</f>
        <v>13418</v>
      </c>
      <c r="B120" s="76" t="s">
        <v>585</v>
      </c>
      <c r="C120" s="76" t="s">
        <v>448</v>
      </c>
      <c r="D120" s="76" t="s">
        <v>305</v>
      </c>
      <c r="E120" s="84" t="s">
        <v>2</v>
      </c>
      <c r="F120" s="76"/>
      <c r="G120" s="76"/>
      <c r="H120" s="79" t="s">
        <v>204</v>
      </c>
      <c r="I120" s="2"/>
      <c r="J120" s="2"/>
      <c r="K120" s="2"/>
    </row>
    <row r="121" spans="1:11" ht="13" x14ac:dyDescent="0.6">
      <c r="A121" s="81">
        <f>HYPERLINK("https://bluetooth.atlassian.net/browse/ES-15586",15586)</f>
        <v>15586</v>
      </c>
      <c r="B121" s="74" t="s">
        <v>585</v>
      </c>
      <c r="C121" s="74" t="s">
        <v>286</v>
      </c>
      <c r="D121" s="74" t="s">
        <v>305</v>
      </c>
      <c r="E121" s="82" t="s">
        <v>2</v>
      </c>
      <c r="F121" s="74"/>
      <c r="G121" s="74"/>
      <c r="H121" s="78"/>
      <c r="I121" s="2"/>
      <c r="J121" s="2"/>
      <c r="K121" s="2"/>
    </row>
    <row r="122" spans="1:11" ht="13" x14ac:dyDescent="0.6">
      <c r="A122" s="83">
        <f>HYPERLINK("https://bluetooth.atlassian.net/browse/ES-16479 ",16479)</f>
        <v>16479</v>
      </c>
      <c r="B122" s="76" t="s">
        <v>585</v>
      </c>
      <c r="C122" s="76" t="s">
        <v>509</v>
      </c>
      <c r="D122" s="76" t="s">
        <v>307</v>
      </c>
      <c r="E122" s="84" t="s">
        <v>2</v>
      </c>
      <c r="F122" s="76"/>
      <c r="G122" s="76"/>
      <c r="H122" s="79"/>
      <c r="I122" s="2"/>
      <c r="J122" s="2"/>
      <c r="K122" s="2"/>
    </row>
    <row r="123" spans="1:11" ht="13" x14ac:dyDescent="0.6">
      <c r="A123" s="81">
        <f>HYPERLINK("https://bluetooth.atlassian.net/browse/ES-16920",16920)</f>
        <v>16920</v>
      </c>
      <c r="B123" s="74" t="s">
        <v>620</v>
      </c>
      <c r="C123" s="74" t="s">
        <v>607</v>
      </c>
      <c r="D123" s="74" t="s">
        <v>307</v>
      </c>
      <c r="E123" s="82" t="s">
        <v>2</v>
      </c>
      <c r="F123" s="74"/>
      <c r="G123" s="74"/>
      <c r="H123" s="78"/>
      <c r="I123" s="2"/>
      <c r="J123" s="2"/>
      <c r="K123" s="2"/>
    </row>
    <row r="124" spans="1:11" ht="13" x14ac:dyDescent="0.6">
      <c r="A124" s="83">
        <f>HYPERLINK("https://bluetooth.atlassian.net/browse/ES-13142",13142)</f>
        <v>13142</v>
      </c>
      <c r="B124" s="76" t="s">
        <v>49</v>
      </c>
      <c r="C124" s="76" t="s">
        <v>483</v>
      </c>
      <c r="D124" s="76" t="s">
        <v>305</v>
      </c>
      <c r="E124" s="84" t="s">
        <v>1</v>
      </c>
      <c r="F124" s="76">
        <v>2</v>
      </c>
      <c r="G124" s="88">
        <f>HYPERLINK("https://bluetooth.atlassian.net/browse/ES-13583",13583)</f>
        <v>13583</v>
      </c>
      <c r="H124" s="79" t="s">
        <v>1134</v>
      </c>
      <c r="I124" s="2"/>
      <c r="J124" s="2"/>
      <c r="K124" s="2"/>
    </row>
    <row r="125" spans="1:11" ht="13" x14ac:dyDescent="0.6">
      <c r="A125" s="81">
        <f>HYPERLINK("https://bluetooth.atlassian.net/browse/ES-13143",13143)</f>
        <v>13143</v>
      </c>
      <c r="B125" s="74" t="s">
        <v>49</v>
      </c>
      <c r="C125" s="74" t="s">
        <v>484</v>
      </c>
      <c r="D125" s="74" t="s">
        <v>305</v>
      </c>
      <c r="E125" s="82" t="s">
        <v>1</v>
      </c>
      <c r="F125" s="74">
        <v>2</v>
      </c>
      <c r="G125" s="87">
        <f>HYPERLINK("https://bluetooth.atlassian.net/browse/ES-13587",13587)</f>
        <v>13587</v>
      </c>
      <c r="H125" s="78" t="s">
        <v>1135</v>
      </c>
      <c r="I125" s="2"/>
      <c r="J125" s="2"/>
      <c r="K125" s="2"/>
    </row>
    <row r="126" spans="1:11" ht="13" x14ac:dyDescent="0.6">
      <c r="A126" s="83">
        <f>HYPERLINK("https://bluetooth.atlassian.net/browse/ES-11754",11754)</f>
        <v>11754</v>
      </c>
      <c r="B126" s="76" t="s">
        <v>24</v>
      </c>
      <c r="C126" s="76" t="s">
        <v>537</v>
      </c>
      <c r="D126" s="76" t="s">
        <v>305</v>
      </c>
      <c r="E126" s="84" t="s">
        <v>1</v>
      </c>
      <c r="F126" s="76">
        <v>4</v>
      </c>
      <c r="G126" s="88">
        <f>HYPERLINK("https://bluetooth.atlassian.net/browse/ES-15493",15493)</f>
        <v>15493</v>
      </c>
      <c r="H126" s="79" t="s">
        <v>1136</v>
      </c>
      <c r="I126" s="2"/>
      <c r="J126" s="2"/>
      <c r="K126" s="2"/>
    </row>
    <row r="127" spans="1:11" ht="25.5" customHeight="1" x14ac:dyDescent="0.6">
      <c r="A127" s="81">
        <f>HYPERLINK("https://bluetooth.atlassian.net/browse/ES-12093",12093)</f>
        <v>12093</v>
      </c>
      <c r="B127" s="74" t="s">
        <v>24</v>
      </c>
      <c r="C127" s="74" t="s">
        <v>463</v>
      </c>
      <c r="D127" s="74" t="s">
        <v>307</v>
      </c>
      <c r="E127" s="82" t="s">
        <v>1</v>
      </c>
      <c r="F127" s="74">
        <v>4</v>
      </c>
      <c r="G127" s="87">
        <f>HYPERLINK("https://bluetooth.atlassian.net/browse/ES-15621",15621)</f>
        <v>15621</v>
      </c>
      <c r="H127" s="78" t="s">
        <v>1137</v>
      </c>
      <c r="I127" s="2"/>
      <c r="J127" s="2"/>
      <c r="K127" s="2"/>
    </row>
    <row r="128" spans="1:11" ht="26" x14ac:dyDescent="0.6">
      <c r="A128" s="83">
        <f>HYPERLINK("https://bluetooth.atlassian.net/browse/ES-12956",12956)</f>
        <v>12956</v>
      </c>
      <c r="B128" s="76" t="s">
        <v>49</v>
      </c>
      <c r="C128" s="76" t="s">
        <v>477</v>
      </c>
      <c r="D128" s="76" t="s">
        <v>305</v>
      </c>
      <c r="E128" s="84" t="s">
        <v>2</v>
      </c>
      <c r="F128" s="76"/>
      <c r="G128" s="88">
        <f>HYPERLINK("https://bluetooth.atlassian.net/browse/ES-12732",12732)</f>
        <v>12732</v>
      </c>
      <c r="H128" s="79" t="s">
        <v>629</v>
      </c>
      <c r="I128" s="2"/>
      <c r="J128" s="2"/>
      <c r="K128" s="2"/>
    </row>
    <row r="129" spans="1:11" ht="13" x14ac:dyDescent="0.6">
      <c r="A129" s="81">
        <f>HYPERLINK("https://bluetooth.atlassian.net/browse/ES-12036",12036)</f>
        <v>12036</v>
      </c>
      <c r="B129" s="74" t="s">
        <v>24</v>
      </c>
      <c r="C129" s="74" t="s">
        <v>33</v>
      </c>
      <c r="D129" s="74" t="s">
        <v>304</v>
      </c>
      <c r="E129" s="82" t="s">
        <v>2</v>
      </c>
      <c r="F129" s="74"/>
      <c r="G129" s="74"/>
      <c r="H129" s="78" t="s">
        <v>204</v>
      </c>
      <c r="I129" s="2"/>
      <c r="J129" s="2"/>
      <c r="K129" s="2"/>
    </row>
    <row r="130" spans="1:11" ht="13" x14ac:dyDescent="0.6">
      <c r="A130" s="83">
        <f>HYPERLINK("https://bluetooth.atlassian.net/browse/ES-12863",12863)</f>
        <v>12863</v>
      </c>
      <c r="B130" s="76" t="s">
        <v>49</v>
      </c>
      <c r="C130" s="76" t="s">
        <v>64</v>
      </c>
      <c r="D130" s="76" t="s">
        <v>304</v>
      </c>
      <c r="E130" s="84" t="s">
        <v>2</v>
      </c>
      <c r="F130" s="76"/>
      <c r="G130" s="76"/>
      <c r="H130" s="79" t="s">
        <v>204</v>
      </c>
      <c r="I130" s="2"/>
      <c r="J130" s="2"/>
      <c r="K130" s="2"/>
    </row>
    <row r="131" spans="1:11" ht="13" x14ac:dyDescent="0.6">
      <c r="A131" s="81">
        <f>HYPERLINK("https://bluetooth.atlassian.net/browse/ES-12453",12453)</f>
        <v>12453</v>
      </c>
      <c r="B131" s="74" t="s">
        <v>49</v>
      </c>
      <c r="C131" s="74" t="s">
        <v>4</v>
      </c>
      <c r="D131" s="74" t="s">
        <v>305</v>
      </c>
      <c r="E131" s="82" t="s">
        <v>2</v>
      </c>
      <c r="F131" s="74"/>
      <c r="G131" s="74"/>
      <c r="H131" s="78" t="s">
        <v>204</v>
      </c>
      <c r="I131" s="2"/>
      <c r="J131" s="2"/>
      <c r="K131" s="2"/>
    </row>
    <row r="132" spans="1:11" ht="26" x14ac:dyDescent="0.6">
      <c r="A132" s="83">
        <f>HYPERLINK("https://bluetooth.atlassian.net/browse/ES-12517",12517)</f>
        <v>12517</v>
      </c>
      <c r="B132" s="76" t="s">
        <v>49</v>
      </c>
      <c r="C132" s="76" t="s">
        <v>468</v>
      </c>
      <c r="D132" s="76" t="s">
        <v>305</v>
      </c>
      <c r="E132" s="84" t="s">
        <v>2</v>
      </c>
      <c r="F132" s="76"/>
      <c r="G132" s="76"/>
      <c r="H132" s="79" t="s">
        <v>204</v>
      </c>
      <c r="I132" s="2"/>
      <c r="J132" s="2"/>
      <c r="K132" s="2"/>
    </row>
    <row r="133" spans="1:11" ht="13" x14ac:dyDescent="0.6">
      <c r="A133" s="81">
        <f>HYPERLINK("https://bluetooth.atlassian.net/browse/ES-12640",12640)</f>
        <v>12640</v>
      </c>
      <c r="B133" s="74" t="s">
        <v>49</v>
      </c>
      <c r="C133" s="74" t="s">
        <v>56</v>
      </c>
      <c r="D133" s="74" t="s">
        <v>305</v>
      </c>
      <c r="E133" s="82" t="s">
        <v>2</v>
      </c>
      <c r="F133" s="74"/>
      <c r="G133" s="74"/>
      <c r="H133" s="78" t="s">
        <v>204</v>
      </c>
      <c r="I133" s="2"/>
      <c r="J133" s="2"/>
      <c r="K133" s="2"/>
    </row>
    <row r="134" spans="1:11" ht="12.95" customHeight="1" x14ac:dyDescent="0.6">
      <c r="A134" s="83">
        <f>HYPERLINK("https://bluetooth.atlassian.net/browse/ES-12693",12693)</f>
        <v>12693</v>
      </c>
      <c r="B134" s="76" t="s">
        <v>49</v>
      </c>
      <c r="C134" s="76" t="s">
        <v>469</v>
      </c>
      <c r="D134" s="76" t="s">
        <v>305</v>
      </c>
      <c r="E134" s="84" t="s">
        <v>2</v>
      </c>
      <c r="F134" s="76"/>
      <c r="G134" s="76"/>
      <c r="H134" s="79" t="s">
        <v>204</v>
      </c>
      <c r="I134" s="2"/>
      <c r="J134" s="2"/>
      <c r="K134" s="2"/>
    </row>
    <row r="135" spans="1:11" ht="13" x14ac:dyDescent="0.6">
      <c r="A135" s="81">
        <f>HYPERLINK("https://bluetooth.atlassian.net/browse/ES-12866",12866)</f>
        <v>12866</v>
      </c>
      <c r="B135" s="74" t="s">
        <v>49</v>
      </c>
      <c r="C135" s="74" t="s">
        <v>472</v>
      </c>
      <c r="D135" s="74" t="s">
        <v>305</v>
      </c>
      <c r="E135" s="82" t="s">
        <v>2</v>
      </c>
      <c r="F135" s="74"/>
      <c r="G135" s="74"/>
      <c r="H135" s="78" t="s">
        <v>204</v>
      </c>
      <c r="I135" s="2"/>
      <c r="J135" s="2"/>
      <c r="K135" s="2"/>
    </row>
    <row r="136" spans="1:11" ht="13" x14ac:dyDescent="0.6">
      <c r="A136" s="83">
        <f>HYPERLINK("https://bluetooth.atlassian.net/browse/ES-13139",13139)</f>
        <v>13139</v>
      </c>
      <c r="B136" s="76" t="s">
        <v>49</v>
      </c>
      <c r="C136" s="76" t="s">
        <v>482</v>
      </c>
      <c r="D136" s="76" t="s">
        <v>307</v>
      </c>
      <c r="E136" s="84" t="s">
        <v>2</v>
      </c>
      <c r="F136" s="76"/>
      <c r="G136" s="88"/>
      <c r="H136" s="79"/>
      <c r="I136" s="2"/>
      <c r="J136" s="2"/>
      <c r="K136" s="2"/>
    </row>
    <row r="137" spans="1:11" ht="13" x14ac:dyDescent="0.6">
      <c r="A137" s="81">
        <f>HYPERLINK("https://bluetooth.atlassian.net/browse/ES-15233",15233)</f>
        <v>15233</v>
      </c>
      <c r="B137" s="74" t="s">
        <v>71</v>
      </c>
      <c r="C137" s="74" t="s">
        <v>391</v>
      </c>
      <c r="D137" s="74" t="s">
        <v>305</v>
      </c>
      <c r="E137" s="82" t="s">
        <v>1</v>
      </c>
      <c r="F137" s="74">
        <v>1</v>
      </c>
      <c r="G137" s="87">
        <f>HYPERLINK("https://bluetooth.atlassian.net/browse/ES-15914",15914)</f>
        <v>15914</v>
      </c>
      <c r="H137" s="78" t="s">
        <v>1138</v>
      </c>
      <c r="I137" s="2"/>
      <c r="J137" s="2"/>
      <c r="K137" s="2"/>
    </row>
    <row r="138" spans="1:11" ht="13" x14ac:dyDescent="0.6">
      <c r="A138" s="83">
        <f>HYPERLINK("https://bluetooth.atlassian.net/browse/ES-13286",13286)</f>
        <v>13286</v>
      </c>
      <c r="B138" s="76" t="s">
        <v>71</v>
      </c>
      <c r="C138" s="76" t="s">
        <v>111</v>
      </c>
      <c r="D138" s="76" t="s">
        <v>305</v>
      </c>
      <c r="E138" s="84" t="s">
        <v>1</v>
      </c>
      <c r="F138" s="76">
        <v>1</v>
      </c>
      <c r="G138" s="88">
        <f>HYPERLINK("https://bluetooth.atlassian.net/browse/ES-13353",13353)</f>
        <v>13353</v>
      </c>
      <c r="H138" s="79" t="s">
        <v>1139</v>
      </c>
      <c r="I138" s="2"/>
      <c r="J138" s="2"/>
      <c r="K138" s="2"/>
    </row>
    <row r="139" spans="1:11" ht="13" x14ac:dyDescent="0.6">
      <c r="A139" s="81">
        <f>HYPERLINK("https://bluetooth.atlassian.net/browse/ES-13534",13534)</f>
        <v>13534</v>
      </c>
      <c r="B139" s="74" t="s">
        <v>71</v>
      </c>
      <c r="C139" s="74" t="s">
        <v>136</v>
      </c>
      <c r="D139" s="74" t="s">
        <v>305</v>
      </c>
      <c r="E139" s="82" t="s">
        <v>1</v>
      </c>
      <c r="F139" s="74">
        <v>1</v>
      </c>
      <c r="G139" s="87">
        <f>HYPERLINK("https://bluetooth.atlassian.net/browse/ES-14625",14625)</f>
        <v>14625</v>
      </c>
      <c r="H139" s="78" t="s">
        <v>1140</v>
      </c>
      <c r="I139" s="2"/>
      <c r="J139" s="2"/>
      <c r="K139" s="2"/>
    </row>
    <row r="140" spans="1:11" ht="26" x14ac:dyDescent="0.6">
      <c r="A140" s="83">
        <f>HYPERLINK("https://bluetooth.atlassian.net/browse/ES-16125",16125)</f>
        <v>16125</v>
      </c>
      <c r="B140" s="76" t="s">
        <v>71</v>
      </c>
      <c r="C140" s="76" t="s">
        <v>348</v>
      </c>
      <c r="D140" s="76" t="s">
        <v>304</v>
      </c>
      <c r="E140" s="84" t="s">
        <v>1</v>
      </c>
      <c r="F140" s="76">
        <v>2</v>
      </c>
      <c r="G140" s="88">
        <f>HYPERLINK("https://bluetooth.atlassian.net/browse/ES-16161",16161)</f>
        <v>16161</v>
      </c>
      <c r="H140" s="80" t="s">
        <v>1141</v>
      </c>
      <c r="I140" s="2"/>
      <c r="J140" s="2"/>
      <c r="K140" s="2"/>
    </row>
    <row r="141" spans="1:11" ht="12.95" customHeight="1" x14ac:dyDescent="0.6">
      <c r="A141" s="81">
        <f>HYPERLINK("https://bluetooth.atlassian.net/browse/ES-14980",14980)</f>
        <v>14980</v>
      </c>
      <c r="B141" s="74" t="s">
        <v>71</v>
      </c>
      <c r="C141" s="74" t="s">
        <v>176</v>
      </c>
      <c r="D141" s="74" t="s">
        <v>310</v>
      </c>
      <c r="E141" s="82" t="s">
        <v>1</v>
      </c>
      <c r="F141" s="74">
        <v>2</v>
      </c>
      <c r="G141" s="87">
        <f>HYPERLINK("https://bluetooth.atlassian.net/browse/ES-14954",14954)</f>
        <v>14954</v>
      </c>
      <c r="H141" s="78" t="s">
        <v>1142</v>
      </c>
      <c r="I141" s="2"/>
      <c r="J141" s="2"/>
      <c r="K141" s="2"/>
    </row>
    <row r="142" spans="1:11" ht="12.95" customHeight="1" x14ac:dyDescent="0.6">
      <c r="A142" s="83">
        <f>HYPERLINK("https://bluetooth.atlassian.net/browse/ES-16504 ",16504)</f>
        <v>16504</v>
      </c>
      <c r="B142" s="76" t="s">
        <v>71</v>
      </c>
      <c r="C142" s="76" t="s">
        <v>514</v>
      </c>
      <c r="D142" s="76" t="s">
        <v>305</v>
      </c>
      <c r="E142" s="84" t="s">
        <v>1</v>
      </c>
      <c r="F142" s="76">
        <v>2</v>
      </c>
      <c r="G142" s="88">
        <f>HYPERLINK("https://bluetooth.atlassian.net/browse/ES-15628",15628)</f>
        <v>15628</v>
      </c>
      <c r="H142" s="80" t="s">
        <v>1117</v>
      </c>
      <c r="I142" s="2"/>
      <c r="J142" s="2"/>
      <c r="K142" s="2"/>
    </row>
    <row r="143" spans="1:11" ht="12.95" customHeight="1" x14ac:dyDescent="0.6">
      <c r="A143" s="81">
        <f>HYPERLINK("https://bluetooth.atlassian.net/browse/ES-14998",14998)</f>
        <v>14998</v>
      </c>
      <c r="B143" s="74" t="s">
        <v>71</v>
      </c>
      <c r="C143" s="74" t="s">
        <v>408</v>
      </c>
      <c r="D143" s="74" t="s">
        <v>305</v>
      </c>
      <c r="E143" s="82" t="s">
        <v>1</v>
      </c>
      <c r="F143" s="74">
        <v>2</v>
      </c>
      <c r="G143" s="87">
        <f>HYPERLINK("https://bluetooth.atlassian.net/browse/ES-15025",15025)</f>
        <v>15025</v>
      </c>
      <c r="H143" s="78" t="s">
        <v>1143</v>
      </c>
      <c r="I143" s="2"/>
      <c r="J143" s="2"/>
      <c r="K143" s="2"/>
    </row>
    <row r="144" spans="1:11" ht="12.95" customHeight="1" x14ac:dyDescent="0.6">
      <c r="A144" s="83">
        <f>HYPERLINK("https://bluetooth.atlassian.net/browse/ES-16167",16167)</f>
        <v>16167</v>
      </c>
      <c r="B144" s="76" t="s">
        <v>71</v>
      </c>
      <c r="C144" s="76" t="s">
        <v>347</v>
      </c>
      <c r="D144" s="76" t="s">
        <v>305</v>
      </c>
      <c r="E144" s="84" t="s">
        <v>1</v>
      </c>
      <c r="F144" s="76">
        <v>2</v>
      </c>
      <c r="G144" s="88">
        <f>HYPERLINK("https://bluetooth.atlassian.net/browse/ES-16235",16235)</f>
        <v>16235</v>
      </c>
      <c r="H144" s="80" t="s">
        <v>1144</v>
      </c>
      <c r="I144" s="2"/>
      <c r="J144" s="2"/>
      <c r="K144" s="2"/>
    </row>
    <row r="145" spans="1:11" ht="12.95" customHeight="1" x14ac:dyDescent="0.6">
      <c r="A145" s="81">
        <f>HYPERLINK("https://bluetooth.atlassian.net/browse/ES-15570",15570)</f>
        <v>15570</v>
      </c>
      <c r="B145" s="74" t="s">
        <v>71</v>
      </c>
      <c r="C145" s="74" t="s">
        <v>282</v>
      </c>
      <c r="D145" s="74" t="s">
        <v>304</v>
      </c>
      <c r="E145" s="82" t="s">
        <v>1</v>
      </c>
      <c r="F145" s="74">
        <v>3</v>
      </c>
      <c r="G145" s="87">
        <f>HYPERLINK("https://bluetooth.atlassian.net/browse/ES-15610",15610)</f>
        <v>15610</v>
      </c>
      <c r="H145" s="78" t="s">
        <v>1145</v>
      </c>
      <c r="I145" s="2"/>
      <c r="J145" s="2"/>
      <c r="K145" s="2"/>
    </row>
    <row r="146" spans="1:11" ht="12.95" customHeight="1" x14ac:dyDescent="0.6">
      <c r="A146" s="83">
        <f>HYPERLINK("https://bluetooth.atlassian.net/browse/ES-15021",15021)</f>
        <v>15021</v>
      </c>
      <c r="B146" s="76" t="s">
        <v>181</v>
      </c>
      <c r="C146" s="76" t="s">
        <v>182</v>
      </c>
      <c r="D146" s="76" t="s">
        <v>310</v>
      </c>
      <c r="E146" s="84" t="s">
        <v>1</v>
      </c>
      <c r="F146" s="76">
        <v>3</v>
      </c>
      <c r="G146" s="88">
        <f>HYPERLINK("https://bluetooth.atlassian.net/browse/ES-15240",15240)</f>
        <v>15240</v>
      </c>
      <c r="H146" s="80" t="s">
        <v>1146</v>
      </c>
      <c r="I146" s="2"/>
      <c r="J146" s="2"/>
      <c r="K146" s="2"/>
    </row>
    <row r="147" spans="1:11" ht="12.95" customHeight="1" x14ac:dyDescent="0.6">
      <c r="A147" s="81">
        <f>HYPERLINK("https://bluetooth.atlassian.net/browse/ES-15843",15843)</f>
        <v>15843</v>
      </c>
      <c r="B147" s="74" t="s">
        <v>71</v>
      </c>
      <c r="C147" s="74" t="s">
        <v>296</v>
      </c>
      <c r="D147" s="74" t="s">
        <v>305</v>
      </c>
      <c r="E147" s="82" t="s">
        <v>1</v>
      </c>
      <c r="F147" s="74">
        <v>3</v>
      </c>
      <c r="G147" s="87">
        <f>HYPERLINK("https://bluetooth.atlassian.net/browse/ES-15935",15935)</f>
        <v>15935</v>
      </c>
      <c r="H147" s="78" t="s">
        <v>1147</v>
      </c>
      <c r="I147" s="2"/>
      <c r="J147" s="2"/>
      <c r="K147" s="2"/>
    </row>
    <row r="148" spans="1:11" ht="12.95" customHeight="1" x14ac:dyDescent="0.6">
      <c r="A148" s="83">
        <f>HYPERLINK("https://bluetooth.atlassian.net/browse/ES-16058",16058)</f>
        <v>16058</v>
      </c>
      <c r="B148" s="76" t="s">
        <v>71</v>
      </c>
      <c r="C148" s="76" t="s">
        <v>332</v>
      </c>
      <c r="D148" s="76" t="s">
        <v>307</v>
      </c>
      <c r="E148" s="84" t="s">
        <v>1</v>
      </c>
      <c r="F148" s="76">
        <v>3</v>
      </c>
      <c r="G148" s="88">
        <f>HYPERLINK("https://bluetooth.atlassian.net/browse/ES-16105",16105)</f>
        <v>16105</v>
      </c>
      <c r="H148" s="80" t="s">
        <v>1148</v>
      </c>
      <c r="I148" s="2"/>
      <c r="J148" s="2"/>
      <c r="K148" s="2"/>
    </row>
    <row r="149" spans="1:11" ht="26" x14ac:dyDescent="0.6">
      <c r="A149" s="81">
        <f>HYPERLINK("https://bluetooth.atlassian.net/browse/ES-16913",16913)</f>
        <v>16913</v>
      </c>
      <c r="B149" s="74" t="s">
        <v>71</v>
      </c>
      <c r="C149" s="74" t="s">
        <v>609</v>
      </c>
      <c r="D149" s="74" t="s">
        <v>310</v>
      </c>
      <c r="E149" s="82" t="s">
        <v>1</v>
      </c>
      <c r="F149" s="74">
        <v>4</v>
      </c>
      <c r="G149" s="85">
        <v>16928</v>
      </c>
      <c r="H149" s="78" t="s">
        <v>1149</v>
      </c>
      <c r="I149" s="2"/>
      <c r="J149" s="2"/>
      <c r="K149" s="2"/>
    </row>
    <row r="150" spans="1:11" ht="13" x14ac:dyDescent="0.6">
      <c r="A150" s="83">
        <f>HYPERLINK("https://bluetooth.atlassian.net/browse/ES-14916",14916)</f>
        <v>14916</v>
      </c>
      <c r="B150" s="76" t="s">
        <v>71</v>
      </c>
      <c r="C150" s="76" t="s">
        <v>413</v>
      </c>
      <c r="D150" s="76" t="s">
        <v>305</v>
      </c>
      <c r="E150" s="84" t="s">
        <v>1</v>
      </c>
      <c r="F150" s="76">
        <v>4</v>
      </c>
      <c r="G150" s="88">
        <f>HYPERLINK("https://bluetooth.atlassian.net/browse/ES-15278",15278)</f>
        <v>15278</v>
      </c>
      <c r="H150" s="79" t="s">
        <v>1150</v>
      </c>
      <c r="I150" s="2"/>
      <c r="J150" s="2"/>
      <c r="K150" s="2"/>
    </row>
    <row r="151" spans="1:11" ht="26" x14ac:dyDescent="0.6">
      <c r="A151" s="81">
        <f>HYPERLINK("https://bluetooth.atlassian.net/browse/ES-13321",13321)</f>
        <v>13321</v>
      </c>
      <c r="B151" s="74" t="s">
        <v>71</v>
      </c>
      <c r="C151" s="74" t="s">
        <v>457</v>
      </c>
      <c r="D151" s="74" t="s">
        <v>305</v>
      </c>
      <c r="E151" s="82" t="s">
        <v>1</v>
      </c>
      <c r="F151" s="74">
        <v>4</v>
      </c>
      <c r="G151" s="87">
        <f>HYPERLINK("https://bluetooth.atlassian.net/browse/ES-14624",14624)</f>
        <v>14624</v>
      </c>
      <c r="H151" s="78" t="s">
        <v>1151</v>
      </c>
      <c r="I151" s="2"/>
      <c r="J151" s="2"/>
      <c r="K151" s="2"/>
    </row>
    <row r="152" spans="1:11" ht="13" x14ac:dyDescent="0.6">
      <c r="A152" s="83">
        <f>HYPERLINK("https://bluetooth.atlassian.net/browse/ES-13533",13533)</f>
        <v>13533</v>
      </c>
      <c r="B152" s="76" t="s">
        <v>71</v>
      </c>
      <c r="C152" s="76" t="s">
        <v>441</v>
      </c>
      <c r="D152" s="76" t="s">
        <v>305</v>
      </c>
      <c r="E152" s="84" t="s">
        <v>1</v>
      </c>
      <c r="F152" s="76">
        <v>4</v>
      </c>
      <c r="G152" s="88">
        <f>HYPERLINK("https://bluetooth.atlassian.net/browse/ES-14624",14624)</f>
        <v>14624</v>
      </c>
      <c r="H152" s="79" t="s">
        <v>1151</v>
      </c>
      <c r="I152" s="2"/>
      <c r="J152" s="2"/>
      <c r="K152" s="2"/>
    </row>
    <row r="153" spans="1:11" ht="13" x14ac:dyDescent="0.6">
      <c r="A153" s="81">
        <f>HYPERLINK("https://bluetooth.atlassian.net/browse/ES-14655",14655)</f>
        <v>14655</v>
      </c>
      <c r="B153" s="74" t="s">
        <v>71</v>
      </c>
      <c r="C153" s="74" t="s">
        <v>435</v>
      </c>
      <c r="D153" s="74" t="s">
        <v>305</v>
      </c>
      <c r="E153" s="82" t="s">
        <v>1</v>
      </c>
      <c r="F153" s="74">
        <v>4</v>
      </c>
      <c r="G153" s="87">
        <f>HYPERLINK("https://bluetooth.atlassian.net/browse/ES-11959",11959)</f>
        <v>11959</v>
      </c>
      <c r="H153" s="78" t="s">
        <v>1152</v>
      </c>
      <c r="I153" s="2"/>
      <c r="J153" s="2"/>
      <c r="K153" s="2"/>
    </row>
    <row r="154" spans="1:11" ht="13" x14ac:dyDescent="0.6">
      <c r="A154" s="83">
        <f>HYPERLINK("https://bluetooth.atlassian.net/browse/ES-14700",14700)</f>
        <v>14700</v>
      </c>
      <c r="B154" s="76" t="s">
        <v>71</v>
      </c>
      <c r="C154" s="76" t="s">
        <v>150</v>
      </c>
      <c r="D154" s="76" t="s">
        <v>305</v>
      </c>
      <c r="E154" s="84" t="s">
        <v>1</v>
      </c>
      <c r="F154" s="76">
        <v>4</v>
      </c>
      <c r="G154" s="88">
        <f>HYPERLINK("https://bluetooth.atlassian.net/browse/ES-14810",14810)</f>
        <v>14810</v>
      </c>
      <c r="H154" s="79" t="s">
        <v>1153</v>
      </c>
      <c r="I154" s="2"/>
      <c r="J154" s="2"/>
      <c r="K154" s="2"/>
    </row>
    <row r="155" spans="1:11" ht="13" x14ac:dyDescent="0.6">
      <c r="A155" s="81">
        <f>HYPERLINK("https://bluetooth.atlassian.net/browse/ES-14841",14841)</f>
        <v>14841</v>
      </c>
      <c r="B155" s="74" t="s">
        <v>71</v>
      </c>
      <c r="C155" s="74" t="s">
        <v>163</v>
      </c>
      <c r="D155" s="74" t="s">
        <v>305</v>
      </c>
      <c r="E155" s="82" t="s">
        <v>1</v>
      </c>
      <c r="F155" s="74">
        <v>4</v>
      </c>
      <c r="G155" s="87">
        <f>HYPERLINK("https://bluetooth.atlassian.net/browse/ES-15277",15277)</f>
        <v>15277</v>
      </c>
      <c r="H155" s="78" t="s">
        <v>1154</v>
      </c>
      <c r="I155" s="2"/>
      <c r="J155" s="2"/>
      <c r="K155" s="2"/>
    </row>
    <row r="156" spans="1:11" ht="13" x14ac:dyDescent="0.6">
      <c r="A156" s="83">
        <f>HYPERLINK("https://bluetooth.atlassian.net/browse/ES-14901",14901)</f>
        <v>14901</v>
      </c>
      <c r="B156" s="76" t="s">
        <v>71</v>
      </c>
      <c r="C156" s="76" t="s">
        <v>591</v>
      </c>
      <c r="D156" s="76" t="s">
        <v>305</v>
      </c>
      <c r="E156" s="84" t="s">
        <v>1</v>
      </c>
      <c r="F156" s="76">
        <v>4</v>
      </c>
      <c r="G156" s="88">
        <f>HYPERLINK("https://bluetooth.atlassian.net/browse/ES-15269",15269)</f>
        <v>15269</v>
      </c>
      <c r="H156" s="79" t="s">
        <v>1155</v>
      </c>
      <c r="I156" s="2"/>
      <c r="J156" s="2"/>
      <c r="K156" s="2"/>
    </row>
    <row r="157" spans="1:11" ht="13" x14ac:dyDescent="0.6">
      <c r="A157" s="81">
        <f>HYPERLINK("https://bluetooth.atlassian.net/browse/ES-15031",15031)</f>
        <v>15031</v>
      </c>
      <c r="B157" s="74" t="s">
        <v>71</v>
      </c>
      <c r="C157" s="74" t="s">
        <v>405</v>
      </c>
      <c r="D157" s="74" t="s">
        <v>305</v>
      </c>
      <c r="E157" s="82" t="s">
        <v>1</v>
      </c>
      <c r="F157" s="74">
        <v>4</v>
      </c>
      <c r="G157" s="87">
        <f>HYPERLINK("https://bluetooth.atlassian.net/browse/ES-15053",15053)</f>
        <v>15053</v>
      </c>
      <c r="H157" s="78" t="s">
        <v>1156</v>
      </c>
      <c r="I157" s="2"/>
      <c r="J157" s="2"/>
      <c r="K157" s="2"/>
    </row>
    <row r="158" spans="1:11" ht="13" x14ac:dyDescent="0.6">
      <c r="A158" s="83">
        <f>HYPERLINK("https://bluetooth.atlassian.net/browse/ES-15204",15204)</f>
        <v>15204</v>
      </c>
      <c r="B158" s="76" t="s">
        <v>71</v>
      </c>
      <c r="C158" s="76" t="s">
        <v>392</v>
      </c>
      <c r="D158" s="76" t="s">
        <v>305</v>
      </c>
      <c r="E158" s="84" t="s">
        <v>1</v>
      </c>
      <c r="F158" s="76">
        <v>4</v>
      </c>
      <c r="G158" s="88">
        <f>HYPERLINK("https://bluetooth.atlassian.net/browse/ES-15289",15289)</f>
        <v>15289</v>
      </c>
      <c r="H158" s="79" t="s">
        <v>1157</v>
      </c>
      <c r="I158" s="2"/>
      <c r="J158" s="2"/>
      <c r="K158" s="2"/>
    </row>
    <row r="159" spans="1:11" ht="26" x14ac:dyDescent="0.6">
      <c r="A159" s="81">
        <f>HYPERLINK("https://bluetooth.atlassian.net/browse/ES-15380",15380)</f>
        <v>15380</v>
      </c>
      <c r="B159" s="74" t="s">
        <v>71</v>
      </c>
      <c r="C159" s="74" t="s">
        <v>381</v>
      </c>
      <c r="D159" s="74" t="s">
        <v>305</v>
      </c>
      <c r="E159" s="82" t="s">
        <v>1</v>
      </c>
      <c r="F159" s="74">
        <v>4</v>
      </c>
      <c r="G159" s="87">
        <f>HYPERLINK("https://bluetooth.atlassian.net/browse/ES-15481",15481)</f>
        <v>15481</v>
      </c>
      <c r="H159" s="78" t="s">
        <v>1158</v>
      </c>
      <c r="I159" s="2"/>
      <c r="J159" s="2"/>
      <c r="K159" s="2"/>
    </row>
    <row r="160" spans="1:11" ht="13" x14ac:dyDescent="0.6">
      <c r="A160" s="83">
        <f>HYPERLINK("https://bluetooth.atlassian.net/browse/ES-15640",15640)</f>
        <v>15640</v>
      </c>
      <c r="B160" s="76" t="s">
        <v>71</v>
      </c>
      <c r="C160" s="76" t="s">
        <v>366</v>
      </c>
      <c r="D160" s="76" t="s">
        <v>305</v>
      </c>
      <c r="E160" s="84" t="s">
        <v>1</v>
      </c>
      <c r="F160" s="76">
        <v>4</v>
      </c>
      <c r="G160" s="88">
        <f>HYPERLINK("https://bluetooth.atlassian.net/browse/ES-15960",15960)</f>
        <v>15960</v>
      </c>
      <c r="H160" s="79" t="s">
        <v>1159</v>
      </c>
      <c r="I160" s="2"/>
      <c r="J160" s="2"/>
      <c r="K160" s="2"/>
    </row>
    <row r="161" spans="1:11" ht="13" x14ac:dyDescent="0.6">
      <c r="A161" s="81">
        <f>HYPERLINK("https://bluetooth.atlassian.net/browse/ES-16359",16359)</f>
        <v>16359</v>
      </c>
      <c r="B161" s="74" t="s">
        <v>71</v>
      </c>
      <c r="C161" s="74" t="s">
        <v>338</v>
      </c>
      <c r="D161" s="74" t="s">
        <v>305</v>
      </c>
      <c r="E161" s="82" t="s">
        <v>1</v>
      </c>
      <c r="F161" s="74">
        <v>4</v>
      </c>
      <c r="G161" s="87">
        <f>HYPERLINK("https://bluetooth.atlassian.net/browse/ES-16390",16390)</f>
        <v>16390</v>
      </c>
      <c r="H161" s="78" t="s">
        <v>1160</v>
      </c>
      <c r="I161" s="2"/>
      <c r="J161" s="2"/>
      <c r="K161" s="2"/>
    </row>
    <row r="162" spans="1:11" ht="26" x14ac:dyDescent="0.6">
      <c r="A162" s="83">
        <f>HYPERLINK("https://bluetooth.atlassian.net/browse/ES-14893",14893)</f>
        <v>14893</v>
      </c>
      <c r="B162" s="76" t="s">
        <v>71</v>
      </c>
      <c r="C162" s="76" t="s">
        <v>417</v>
      </c>
      <c r="D162" s="76" t="s">
        <v>305</v>
      </c>
      <c r="E162" s="84" t="s">
        <v>1</v>
      </c>
      <c r="F162" s="76">
        <v>4</v>
      </c>
      <c r="G162" s="88">
        <f>HYPERLINK("https://bluetooth.atlassian.net/browse/ES-15270",15270)</f>
        <v>15270</v>
      </c>
      <c r="H162" s="79" t="s">
        <v>1161</v>
      </c>
      <c r="I162" s="2"/>
      <c r="J162" s="2"/>
      <c r="K162" s="2"/>
    </row>
    <row r="163" spans="1:11" ht="13" x14ac:dyDescent="0.6">
      <c r="A163" s="81">
        <f>HYPERLINK("https://bluetooth.atlassian.net/browse/ES-15651",15651)</f>
        <v>15651</v>
      </c>
      <c r="B163" s="74" t="s">
        <v>71</v>
      </c>
      <c r="C163" s="74" t="s">
        <v>289</v>
      </c>
      <c r="D163" s="74" t="s">
        <v>305</v>
      </c>
      <c r="E163" s="82" t="s">
        <v>1</v>
      </c>
      <c r="F163" s="74">
        <v>4</v>
      </c>
      <c r="G163" s="87">
        <f>HYPERLINK("https://bluetooth.atlassian.net/browse/ES-15675",15675)</f>
        <v>15675</v>
      </c>
      <c r="H163" s="78" t="s">
        <v>1162</v>
      </c>
      <c r="I163" s="2"/>
      <c r="J163" s="2"/>
      <c r="K163" s="2"/>
    </row>
    <row r="164" spans="1:11" ht="13" x14ac:dyDescent="0.6">
      <c r="A164" s="83">
        <f>HYPERLINK("https://bluetooth.atlassian.net/browse/ES-15745",15745)</f>
        <v>15745</v>
      </c>
      <c r="B164" s="76" t="s">
        <v>71</v>
      </c>
      <c r="C164" s="76" t="s">
        <v>358</v>
      </c>
      <c r="D164" s="76" t="s">
        <v>305</v>
      </c>
      <c r="E164" s="84" t="s">
        <v>1</v>
      </c>
      <c r="F164" s="76">
        <v>4</v>
      </c>
      <c r="G164" s="88">
        <f>HYPERLINK("https://bluetooth.atlassian.net/browse/ES-15953",15953)</f>
        <v>15953</v>
      </c>
      <c r="H164" s="79" t="s">
        <v>1163</v>
      </c>
      <c r="I164" s="2"/>
      <c r="J164" s="2"/>
      <c r="K164" s="2"/>
    </row>
    <row r="165" spans="1:11" ht="13" x14ac:dyDescent="0.6">
      <c r="A165" s="81">
        <f>HYPERLINK("https://bluetooth.atlassian.net/browse/ES-16397 ",16397)</f>
        <v>16397</v>
      </c>
      <c r="B165" s="74" t="s">
        <v>71</v>
      </c>
      <c r="C165" s="74" t="s">
        <v>593</v>
      </c>
      <c r="D165" s="74" t="s">
        <v>305</v>
      </c>
      <c r="E165" s="82" t="s">
        <v>1</v>
      </c>
      <c r="F165" s="74">
        <v>4</v>
      </c>
      <c r="G165" s="87">
        <f>HYPERLINK("https://bluetooth.atlassian.net/browse/ES-16700",16700)</f>
        <v>16700</v>
      </c>
      <c r="H165" s="78" t="s">
        <v>1164</v>
      </c>
      <c r="I165" s="2"/>
      <c r="J165" s="2"/>
      <c r="K165" s="2"/>
    </row>
    <row r="166" spans="1:11" ht="13" x14ac:dyDescent="0.6">
      <c r="A166" s="83">
        <f>HYPERLINK("https://bluetooth.atlassian.net/browse/ES-15553",15553)</f>
        <v>15553</v>
      </c>
      <c r="B166" s="76" t="s">
        <v>71</v>
      </c>
      <c r="C166" s="76" t="s">
        <v>281</v>
      </c>
      <c r="D166" s="76" t="s">
        <v>307</v>
      </c>
      <c r="E166" s="84" t="s">
        <v>1</v>
      </c>
      <c r="F166" s="76">
        <v>4</v>
      </c>
      <c r="G166" s="88">
        <f>HYPERLINK("https://bluetooth.atlassian.net/browse/ES-15608",15608)</f>
        <v>15608</v>
      </c>
      <c r="H166" s="80" t="s">
        <v>1165</v>
      </c>
      <c r="I166" s="2"/>
      <c r="J166" s="2"/>
      <c r="K166" s="2"/>
    </row>
    <row r="167" spans="1:11" ht="26" x14ac:dyDescent="0.6">
      <c r="A167" s="81">
        <f>HYPERLINK("https://bluetooth.atlassian.net/browse/ES-13498",13498)</f>
        <v>13498</v>
      </c>
      <c r="B167" s="74" t="s">
        <v>71</v>
      </c>
      <c r="C167" s="74" t="s">
        <v>444</v>
      </c>
      <c r="D167" s="74" t="s">
        <v>307</v>
      </c>
      <c r="E167" s="82" t="s">
        <v>1</v>
      </c>
      <c r="F167" s="74">
        <v>4</v>
      </c>
      <c r="G167" s="87">
        <f>HYPERLINK("https://bluetooth.atlassian.net/browse/ES-14623",14623)</f>
        <v>14623</v>
      </c>
      <c r="H167" s="78" t="s">
        <v>1166</v>
      </c>
      <c r="I167" s="2"/>
      <c r="J167" s="2"/>
      <c r="K167" s="2"/>
    </row>
    <row r="168" spans="1:11" ht="13" x14ac:dyDescent="0.6">
      <c r="A168" s="83">
        <f>HYPERLINK("https://bluetooth.atlassian.net/browse/ES-15658",15658)</f>
        <v>15658</v>
      </c>
      <c r="B168" s="76" t="s">
        <v>71</v>
      </c>
      <c r="C168" s="76" t="s">
        <v>364</v>
      </c>
      <c r="D168" s="76" t="s">
        <v>307</v>
      </c>
      <c r="E168" s="84" t="s">
        <v>1</v>
      </c>
      <c r="F168" s="76">
        <v>4</v>
      </c>
      <c r="G168" s="89">
        <f>HYPERLINK("https://bluetooth.atlassian.net/browse/ES-15239",15239)</f>
        <v>15239</v>
      </c>
      <c r="H168" s="80" t="s">
        <v>1167</v>
      </c>
      <c r="I168" s="2"/>
      <c r="J168" s="2"/>
      <c r="K168" s="2"/>
    </row>
    <row r="169" spans="1:11" ht="13" x14ac:dyDescent="0.6">
      <c r="A169" s="178">
        <f>HYPERLINK("https://bluetooth.atlassian.net/browse/ES-13293",13293)</f>
        <v>13293</v>
      </c>
      <c r="B169" s="176" t="s">
        <v>71</v>
      </c>
      <c r="C169" s="176" t="s">
        <v>113</v>
      </c>
      <c r="D169" s="176" t="s">
        <v>304</v>
      </c>
      <c r="E169" s="177" t="s">
        <v>1</v>
      </c>
      <c r="F169" s="176" t="s">
        <v>297</v>
      </c>
      <c r="G169" s="85" t="str">
        <f>HYPERLINK("https://bluetooth.atlassian.net/browse/ES-13349","13349,")</f>
        <v>13349,</v>
      </c>
      <c r="H169" s="174" t="s">
        <v>1168</v>
      </c>
      <c r="I169" s="2"/>
      <c r="J169" s="2"/>
      <c r="K169" s="2"/>
    </row>
    <row r="170" spans="1:11" ht="13" x14ac:dyDescent="0.6">
      <c r="A170" s="172"/>
      <c r="B170" s="170"/>
      <c r="C170" s="170"/>
      <c r="D170" s="170"/>
      <c r="E170" s="172"/>
      <c r="F170" s="170"/>
      <c r="G170" s="85" t="str">
        <f>HYPERLINK("https://bluetooth.atlassian.net/browse/ES-13350","13350,")</f>
        <v>13350,</v>
      </c>
      <c r="H170" s="175"/>
      <c r="I170" s="2"/>
      <c r="J170" s="2"/>
      <c r="K170" s="2"/>
    </row>
    <row r="171" spans="1:11" ht="13" x14ac:dyDescent="0.6">
      <c r="A171" s="172"/>
      <c r="B171" s="170"/>
      <c r="C171" s="170"/>
      <c r="D171" s="170"/>
      <c r="E171" s="172"/>
      <c r="F171" s="170"/>
      <c r="G171" s="85" t="str">
        <f>HYPERLINK("https://bluetooth.atlassian.net/browse/ES-13351","13351,")</f>
        <v>13351,</v>
      </c>
      <c r="H171" s="175"/>
      <c r="I171" s="2"/>
      <c r="J171" s="2"/>
      <c r="K171" s="2"/>
    </row>
    <row r="172" spans="1:11" ht="13" x14ac:dyDescent="0.6">
      <c r="A172" s="172"/>
      <c r="B172" s="170"/>
      <c r="C172" s="170"/>
      <c r="D172" s="170"/>
      <c r="E172" s="172"/>
      <c r="F172" s="170"/>
      <c r="G172" s="85" t="str">
        <f>HYPERLINK("https://bluetooth.atlassian.net/browse/ES-13352","13352")</f>
        <v>13352</v>
      </c>
      <c r="H172" s="175"/>
      <c r="I172" s="2"/>
      <c r="J172" s="2"/>
      <c r="K172" s="2"/>
    </row>
    <row r="173" spans="1:11" ht="13" x14ac:dyDescent="0.6">
      <c r="A173" s="173">
        <f>HYPERLINK("https://bluetooth.atlassian.net/browse/ES-15039",15039)</f>
        <v>15039</v>
      </c>
      <c r="B173" s="169" t="s">
        <v>71</v>
      </c>
      <c r="C173" s="169" t="s">
        <v>403</v>
      </c>
      <c r="D173" s="169" t="s">
        <v>305</v>
      </c>
      <c r="E173" s="171" t="s">
        <v>1</v>
      </c>
      <c r="F173" s="169" t="s">
        <v>301</v>
      </c>
      <c r="G173" s="89" t="str">
        <f>HYPERLINK("https://bluetooth.atlassian.net/browse/ES-15088","15088,")</f>
        <v>15088,</v>
      </c>
      <c r="H173" s="179" t="s">
        <v>1169</v>
      </c>
      <c r="I173" s="2"/>
      <c r="J173" s="2"/>
      <c r="K173" s="2"/>
    </row>
    <row r="174" spans="1:11" ht="13" x14ac:dyDescent="0.6">
      <c r="A174" s="172"/>
      <c r="B174" s="170"/>
      <c r="C174" s="170"/>
      <c r="D174" s="170"/>
      <c r="E174" s="172"/>
      <c r="F174" s="170"/>
      <c r="G174" s="89" t="str">
        <f>HYPERLINK("https://bluetooth.atlassian.net/browse/ES-15089","15089")</f>
        <v>15089</v>
      </c>
      <c r="H174" s="175"/>
      <c r="I174" s="2"/>
      <c r="J174" s="2"/>
      <c r="K174" s="2"/>
    </row>
    <row r="175" spans="1:11" ht="13" x14ac:dyDescent="0.6">
      <c r="A175" s="178">
        <f>HYPERLINK("https://bluetooth.atlassian.net/browse/ES-14741",14741)</f>
        <v>14741</v>
      </c>
      <c r="B175" s="176" t="s">
        <v>71</v>
      </c>
      <c r="C175" s="176" t="s">
        <v>431</v>
      </c>
      <c r="D175" s="176" t="s">
        <v>305</v>
      </c>
      <c r="E175" s="177" t="s">
        <v>1</v>
      </c>
      <c r="F175" s="176" t="s">
        <v>299</v>
      </c>
      <c r="G175" s="85" t="str">
        <f>HYPERLINK("https://bluetooth.atlassian.net/browse/ES-12700","12700,")</f>
        <v>12700,</v>
      </c>
      <c r="H175" s="174" t="s">
        <v>1170</v>
      </c>
      <c r="I175" s="2"/>
      <c r="J175" s="2"/>
      <c r="K175" s="2"/>
    </row>
    <row r="176" spans="1:11" ht="13" x14ac:dyDescent="0.6">
      <c r="A176" s="172"/>
      <c r="B176" s="170"/>
      <c r="C176" s="170"/>
      <c r="D176" s="170"/>
      <c r="E176" s="172"/>
      <c r="F176" s="170"/>
      <c r="G176" s="85" t="str">
        <f>HYPERLINK("https://bluetooth.atlassian.net/browse/ES-14811","14811")</f>
        <v>14811</v>
      </c>
      <c r="H176" s="175"/>
      <c r="I176" s="2"/>
      <c r="J176" s="2"/>
      <c r="K176" s="2"/>
    </row>
    <row r="177" spans="1:11" ht="13" x14ac:dyDescent="0.6">
      <c r="A177" s="173">
        <f>HYPERLINK("https://bluetooth.atlassian.net/browse/ES-14651",14651)</f>
        <v>14651</v>
      </c>
      <c r="B177" s="169" t="s">
        <v>71</v>
      </c>
      <c r="C177" s="169" t="s">
        <v>592</v>
      </c>
      <c r="D177" s="169" t="s">
        <v>305</v>
      </c>
      <c r="E177" s="171" t="s">
        <v>1</v>
      </c>
      <c r="F177" s="169" t="s">
        <v>300</v>
      </c>
      <c r="G177" s="89" t="str">
        <f>HYPERLINK("https://bluetooth.atlassian.net/browse/ES-12810","12810,")</f>
        <v>12810,</v>
      </c>
      <c r="H177" s="175" t="s">
        <v>1171</v>
      </c>
      <c r="I177" s="2"/>
      <c r="J177" s="2"/>
      <c r="K177" s="2"/>
    </row>
    <row r="178" spans="1:11" ht="13" x14ac:dyDescent="0.6">
      <c r="A178" s="172"/>
      <c r="B178" s="170"/>
      <c r="C178" s="170"/>
      <c r="D178" s="170"/>
      <c r="E178" s="172"/>
      <c r="F178" s="170"/>
      <c r="G178" s="89" t="str">
        <f>HYPERLINK("https://bluetooth.atlassian.net/browse/ES-13015","13015,")</f>
        <v>13015,</v>
      </c>
      <c r="H178" s="175"/>
      <c r="I178" s="2"/>
      <c r="J178" s="2"/>
      <c r="K178" s="2"/>
    </row>
    <row r="179" spans="1:11" ht="13" x14ac:dyDescent="0.6">
      <c r="A179" s="172"/>
      <c r="B179" s="170"/>
      <c r="C179" s="170"/>
      <c r="D179" s="170"/>
      <c r="E179" s="172"/>
      <c r="F179" s="170"/>
      <c r="G179" s="89" t="str">
        <f>HYPERLINK("https://bluetooth.atlassian.net/browse/ES-14820","14820")</f>
        <v>14820</v>
      </c>
      <c r="H179" s="175"/>
      <c r="I179" s="2"/>
      <c r="J179" s="2"/>
      <c r="K179" s="2"/>
    </row>
    <row r="180" spans="1:11" s="2" customFormat="1" ht="13" x14ac:dyDescent="0.6">
      <c r="A180" s="81">
        <f>HYPERLINK("https://bluetooth.atlassian.net/browse/ES-15752",15752)</f>
        <v>15752</v>
      </c>
      <c r="B180" s="74" t="s">
        <v>71</v>
      </c>
      <c r="C180" s="74" t="s">
        <v>318</v>
      </c>
      <c r="D180" s="74" t="s">
        <v>307</v>
      </c>
      <c r="E180" s="82" t="s">
        <v>1</v>
      </c>
      <c r="F180" s="74"/>
      <c r="G180" s="74"/>
      <c r="H180" s="78"/>
    </row>
    <row r="181" spans="1:11" ht="13" x14ac:dyDescent="0.6">
      <c r="A181" s="83">
        <f>HYPERLINK("https://bluetooth.atlassian.net/browse/ES-15752",15752)</f>
        <v>15752</v>
      </c>
      <c r="B181" s="76" t="s">
        <v>71</v>
      </c>
      <c r="C181" s="76" t="s">
        <v>318</v>
      </c>
      <c r="D181" s="76" t="s">
        <v>307</v>
      </c>
      <c r="E181" s="84" t="s">
        <v>2</v>
      </c>
      <c r="F181" s="76"/>
      <c r="G181" s="76"/>
      <c r="H181" s="79"/>
      <c r="I181" s="2"/>
      <c r="J181" s="2"/>
      <c r="K181" s="2"/>
    </row>
    <row r="182" spans="1:11" ht="26" x14ac:dyDescent="0.6">
      <c r="A182" s="81">
        <f>HYPERLINK("https://bluetooth.atlassian.net/browse/ES-14650",14650)</f>
        <v>14650</v>
      </c>
      <c r="B182" s="74" t="s">
        <v>71</v>
      </c>
      <c r="C182" s="74" t="s">
        <v>436</v>
      </c>
      <c r="D182" s="74" t="s">
        <v>305</v>
      </c>
      <c r="E182" s="82" t="s">
        <v>1</v>
      </c>
      <c r="F182" s="74">
        <v>4</v>
      </c>
      <c r="G182" s="87">
        <f>HYPERLINK("https://bluetooth.atlassian.net/browse/ES-15625",15625)</f>
        <v>15625</v>
      </c>
      <c r="H182" s="78" t="s">
        <v>1172</v>
      </c>
      <c r="I182" s="2"/>
      <c r="J182" s="2"/>
      <c r="K182" s="2"/>
    </row>
    <row r="183" spans="1:11" ht="13" x14ac:dyDescent="0.6">
      <c r="A183" s="83">
        <f>HYPERLINK("https://bluetooth.atlassian.net/browse/ES-15592",15592)</f>
        <v>15592</v>
      </c>
      <c r="B183" s="76" t="s">
        <v>71</v>
      </c>
      <c r="C183" s="76" t="s">
        <v>594</v>
      </c>
      <c r="D183" s="76" t="s">
        <v>304</v>
      </c>
      <c r="E183" s="84" t="s">
        <v>2</v>
      </c>
      <c r="F183" s="76"/>
      <c r="G183" s="76"/>
      <c r="H183" s="79"/>
      <c r="I183" s="2"/>
      <c r="J183" s="2"/>
      <c r="K183" s="2"/>
    </row>
    <row r="184" spans="1:11" ht="13" x14ac:dyDescent="0.6">
      <c r="A184" s="81">
        <f>HYPERLINK("https://bluetooth.atlassian.net/browse/ES-15728",15728)</f>
        <v>15728</v>
      </c>
      <c r="B184" s="74" t="s">
        <v>71</v>
      </c>
      <c r="C184" s="74" t="s">
        <v>293</v>
      </c>
      <c r="D184" s="74" t="s">
        <v>304</v>
      </c>
      <c r="E184" s="82" t="s">
        <v>2</v>
      </c>
      <c r="F184" s="74"/>
      <c r="G184" s="74"/>
      <c r="H184" s="78"/>
      <c r="I184" s="2"/>
      <c r="J184" s="2"/>
      <c r="K184" s="2"/>
    </row>
    <row r="185" spans="1:11" ht="13" x14ac:dyDescent="0.6">
      <c r="A185" s="83">
        <f>HYPERLINK("https://bluetooth.atlassian.net/browse/ES-13081",13081)</f>
        <v>13081</v>
      </c>
      <c r="B185" s="76" t="s">
        <v>71</v>
      </c>
      <c r="C185" s="76" t="s">
        <v>595</v>
      </c>
      <c r="D185" s="76" t="s">
        <v>304</v>
      </c>
      <c r="E185" s="84" t="s">
        <v>2</v>
      </c>
      <c r="F185" s="76"/>
      <c r="G185" s="76"/>
      <c r="H185" s="79" t="s">
        <v>204</v>
      </c>
      <c r="I185" s="2"/>
      <c r="J185" s="2"/>
      <c r="K185" s="2"/>
    </row>
    <row r="186" spans="1:11" ht="13" x14ac:dyDescent="0.6">
      <c r="A186" s="81">
        <f>HYPERLINK("https://bluetooth.atlassian.net/browse/ES-13536",13536)</f>
        <v>13536</v>
      </c>
      <c r="B186" s="74" t="s">
        <v>71</v>
      </c>
      <c r="C186" s="74" t="s">
        <v>33</v>
      </c>
      <c r="D186" s="74" t="s">
        <v>304</v>
      </c>
      <c r="E186" s="82" t="s">
        <v>2</v>
      </c>
      <c r="F186" s="74"/>
      <c r="G186" s="74"/>
      <c r="H186" s="78" t="s">
        <v>204</v>
      </c>
      <c r="I186" s="2"/>
      <c r="J186" s="2"/>
      <c r="K186" s="2"/>
    </row>
    <row r="187" spans="1:11" ht="13" x14ac:dyDescent="0.6">
      <c r="A187" s="83">
        <f>HYPERLINK("https://bluetooth.atlassian.net/browse/ES-13542",13542)</f>
        <v>13542</v>
      </c>
      <c r="B187" s="76" t="s">
        <v>71</v>
      </c>
      <c r="C187" s="76" t="s">
        <v>596</v>
      </c>
      <c r="D187" s="76" t="s">
        <v>304</v>
      </c>
      <c r="E187" s="84" t="s">
        <v>2</v>
      </c>
      <c r="F187" s="76"/>
      <c r="G187" s="76"/>
      <c r="H187" s="79" t="s">
        <v>204</v>
      </c>
      <c r="I187" s="2"/>
      <c r="J187" s="2"/>
      <c r="K187" s="2"/>
    </row>
    <row r="188" spans="1:11" ht="13" x14ac:dyDescent="0.6">
      <c r="A188" s="81">
        <f>HYPERLINK("https://bluetooth.atlassian.net/browse/ES-14714",14714)</f>
        <v>14714</v>
      </c>
      <c r="B188" s="74" t="s">
        <v>71</v>
      </c>
      <c r="C188" s="74" t="s">
        <v>597</v>
      </c>
      <c r="D188" s="74" t="s">
        <v>304</v>
      </c>
      <c r="E188" s="82" t="s">
        <v>2</v>
      </c>
      <c r="F188" s="74"/>
      <c r="G188" s="74"/>
      <c r="H188" s="78" t="s">
        <v>204</v>
      </c>
      <c r="I188" s="2"/>
      <c r="J188" s="2"/>
      <c r="K188" s="2"/>
    </row>
    <row r="189" spans="1:11" ht="13" x14ac:dyDescent="0.6">
      <c r="A189" s="83">
        <f>HYPERLINK("https://bluetooth.atlassian.net/browse/ES-14957",14957)</f>
        <v>14957</v>
      </c>
      <c r="B189" s="76" t="s">
        <v>71</v>
      </c>
      <c r="C189" s="76" t="s">
        <v>173</v>
      </c>
      <c r="D189" s="76" t="s">
        <v>304</v>
      </c>
      <c r="E189" s="84" t="s">
        <v>2</v>
      </c>
      <c r="F189" s="76"/>
      <c r="G189" s="76"/>
      <c r="H189" s="79" t="s">
        <v>204</v>
      </c>
      <c r="I189" s="2"/>
      <c r="J189" s="2"/>
      <c r="K189" s="2"/>
    </row>
    <row r="190" spans="1:11" ht="13" x14ac:dyDescent="0.6">
      <c r="A190" s="81">
        <f>HYPERLINK("https://bluetooth.atlassian.net/browse/ES-14984",14984)</f>
        <v>14984</v>
      </c>
      <c r="B190" s="74" t="s">
        <v>71</v>
      </c>
      <c r="C190" s="74" t="s">
        <v>177</v>
      </c>
      <c r="D190" s="74" t="s">
        <v>304</v>
      </c>
      <c r="E190" s="82" t="s">
        <v>2</v>
      </c>
      <c r="F190" s="74"/>
      <c r="G190" s="74"/>
      <c r="H190" s="78" t="s">
        <v>204</v>
      </c>
      <c r="I190" s="2"/>
      <c r="J190" s="2"/>
      <c r="K190" s="2"/>
    </row>
    <row r="191" spans="1:11" ht="13" x14ac:dyDescent="0.6">
      <c r="A191" s="83">
        <f>HYPERLINK("https://bluetooth.atlassian.net/browse/ES-15174",15174)</f>
        <v>15174</v>
      </c>
      <c r="B191" s="76" t="s">
        <v>181</v>
      </c>
      <c r="C191" s="76" t="s">
        <v>194</v>
      </c>
      <c r="D191" s="76" t="s">
        <v>304</v>
      </c>
      <c r="E191" s="84" t="s">
        <v>2</v>
      </c>
      <c r="F191" s="76"/>
      <c r="G191" s="76"/>
      <c r="H191" s="79" t="s">
        <v>204</v>
      </c>
      <c r="I191" s="2"/>
      <c r="J191" s="2"/>
      <c r="K191" s="2"/>
    </row>
    <row r="192" spans="1:11" ht="13" x14ac:dyDescent="0.6">
      <c r="A192" s="81">
        <f>HYPERLINK("https://bluetooth.atlassian.net/browse/ES-15190",15190)</f>
        <v>15190</v>
      </c>
      <c r="B192" s="74" t="s">
        <v>71</v>
      </c>
      <c r="C192" s="74" t="s">
        <v>259</v>
      </c>
      <c r="D192" s="74" t="s">
        <v>304</v>
      </c>
      <c r="E192" s="82" t="s">
        <v>2</v>
      </c>
      <c r="F192" s="74"/>
      <c r="G192" s="74"/>
      <c r="H192" s="78"/>
      <c r="I192" s="2"/>
      <c r="J192" s="2"/>
      <c r="K192" s="2"/>
    </row>
    <row r="193" spans="1:11" ht="13" x14ac:dyDescent="0.6">
      <c r="A193" s="83">
        <f>HYPERLINK("https://bluetooth.atlassian.net/browse/ES-15412",15412)</f>
        <v>15412</v>
      </c>
      <c r="B193" s="76" t="s">
        <v>71</v>
      </c>
      <c r="C193" s="76" t="s">
        <v>377</v>
      </c>
      <c r="D193" s="76" t="s">
        <v>304</v>
      </c>
      <c r="E193" s="84" t="s">
        <v>2</v>
      </c>
      <c r="F193" s="76"/>
      <c r="G193" s="76"/>
      <c r="H193" s="79"/>
      <c r="I193" s="2"/>
      <c r="J193" s="2"/>
      <c r="K193" s="2"/>
    </row>
    <row r="194" spans="1:11" ht="13" x14ac:dyDescent="0.6">
      <c r="A194" s="81">
        <f>HYPERLINK("https://bluetooth.atlassian.net/browse/ES-15413",15413)</f>
        <v>15413</v>
      </c>
      <c r="B194" s="74" t="s">
        <v>71</v>
      </c>
      <c r="C194" s="74" t="s">
        <v>270</v>
      </c>
      <c r="D194" s="74" t="s">
        <v>304</v>
      </c>
      <c r="E194" s="82" t="s">
        <v>2</v>
      </c>
      <c r="F194" s="74"/>
      <c r="G194" s="74"/>
      <c r="H194" s="78"/>
      <c r="I194" s="2"/>
      <c r="J194" s="2"/>
      <c r="K194" s="2"/>
    </row>
    <row r="195" spans="1:11" ht="13" x14ac:dyDescent="0.6">
      <c r="A195" s="83">
        <f>HYPERLINK("https://bluetooth.atlassian.net/browse/ES-16133",16133)</f>
        <v>16133</v>
      </c>
      <c r="B195" s="76" t="s">
        <v>71</v>
      </c>
      <c r="C195" s="76" t="s">
        <v>598</v>
      </c>
      <c r="D195" s="76" t="s">
        <v>304</v>
      </c>
      <c r="E195" s="84" t="s">
        <v>2</v>
      </c>
      <c r="F195" s="76"/>
      <c r="G195" s="76"/>
      <c r="H195" s="79"/>
      <c r="I195" s="2"/>
      <c r="J195" s="2"/>
      <c r="K195" s="2"/>
    </row>
    <row r="196" spans="1:11" ht="13" x14ac:dyDescent="0.6">
      <c r="A196" s="81">
        <f>HYPERLINK("https://bluetooth.atlassian.net/browse/ES-16164",16164)</f>
        <v>16164</v>
      </c>
      <c r="B196" s="74" t="s">
        <v>71</v>
      </c>
      <c r="C196" s="74" t="s">
        <v>328</v>
      </c>
      <c r="D196" s="74" t="s">
        <v>304</v>
      </c>
      <c r="E196" s="82" t="s">
        <v>2</v>
      </c>
      <c r="F196" s="74"/>
      <c r="G196" s="74"/>
      <c r="H196" s="78"/>
      <c r="I196" s="2"/>
      <c r="J196" s="2"/>
      <c r="K196" s="2"/>
    </row>
    <row r="197" spans="1:11" ht="13" x14ac:dyDescent="0.6">
      <c r="A197" s="83">
        <f>HYPERLINK("https://bluetooth.atlassian.net/browse/ES-16331",16331)</f>
        <v>16331</v>
      </c>
      <c r="B197" s="76" t="s">
        <v>71</v>
      </c>
      <c r="C197" s="76" t="s">
        <v>340</v>
      </c>
      <c r="D197" s="76" t="s">
        <v>304</v>
      </c>
      <c r="E197" s="84" t="s">
        <v>2</v>
      </c>
      <c r="F197" s="76"/>
      <c r="G197" s="76"/>
      <c r="H197" s="79"/>
      <c r="I197" s="2"/>
      <c r="J197" s="2"/>
      <c r="K197" s="2"/>
    </row>
    <row r="198" spans="1:11" ht="13" x14ac:dyDescent="0.6">
      <c r="A198" s="81">
        <f>HYPERLINK("https://bluetooth.atlassian.net/browse/ES-16915",16915)</f>
        <v>16915</v>
      </c>
      <c r="B198" s="74" t="s">
        <v>71</v>
      </c>
      <c r="C198" s="74" t="s">
        <v>608</v>
      </c>
      <c r="D198" s="74" t="s">
        <v>304</v>
      </c>
      <c r="E198" s="82" t="s">
        <v>2</v>
      </c>
      <c r="F198" s="74"/>
      <c r="G198" s="74"/>
      <c r="H198" s="75"/>
      <c r="I198" s="2"/>
      <c r="J198" s="2"/>
      <c r="K198" s="2"/>
    </row>
    <row r="199" spans="1:11" ht="13" x14ac:dyDescent="0.6">
      <c r="A199" s="83">
        <f>HYPERLINK("https://bluetooth.atlassian.net/browse/ES-13261",13261)</f>
        <v>13261</v>
      </c>
      <c r="B199" s="76" t="s">
        <v>71</v>
      </c>
      <c r="C199" s="76" t="s">
        <v>490</v>
      </c>
      <c r="D199" s="76" t="s">
        <v>305</v>
      </c>
      <c r="E199" s="84" t="s">
        <v>2</v>
      </c>
      <c r="F199" s="76"/>
      <c r="G199" s="88">
        <f>HYPERLINK("https://bluetooth.atlassian.net/browse/ES-15600",15600)</f>
        <v>15600</v>
      </c>
      <c r="H199" s="77" t="s">
        <v>626</v>
      </c>
      <c r="I199" s="2"/>
      <c r="J199" s="2"/>
      <c r="K199" s="2"/>
    </row>
    <row r="200" spans="1:11" ht="13" x14ac:dyDescent="0.6">
      <c r="A200" s="81">
        <f>HYPERLINK("https://bluetooth.atlassian.net/browse/ES-13346",13346)</f>
        <v>13346</v>
      </c>
      <c r="B200" s="74" t="s">
        <v>71</v>
      </c>
      <c r="C200" s="74" t="s">
        <v>455</v>
      </c>
      <c r="D200" s="74" t="s">
        <v>305</v>
      </c>
      <c r="E200" s="82" t="s">
        <v>2</v>
      </c>
      <c r="F200" s="74"/>
      <c r="G200" s="87">
        <f>HYPERLINK("https://bluetooth.atlassian.net/browse/ES-13540",13540)</f>
        <v>13540</v>
      </c>
      <c r="H200" s="75" t="s">
        <v>625</v>
      </c>
      <c r="I200" s="2"/>
      <c r="J200" s="2"/>
      <c r="K200" s="2"/>
    </row>
    <row r="201" spans="1:11" ht="13" x14ac:dyDescent="0.6">
      <c r="A201" s="83">
        <f>HYPERLINK("https://bluetooth.atlassian.net/browse/ES-13582",13582)</f>
        <v>13582</v>
      </c>
      <c r="B201" s="76" t="s">
        <v>71</v>
      </c>
      <c r="C201" s="76" t="s">
        <v>137</v>
      </c>
      <c r="D201" s="76" t="s">
        <v>305</v>
      </c>
      <c r="E201" s="84" t="s">
        <v>2</v>
      </c>
      <c r="F201" s="76"/>
      <c r="G201" s="88">
        <f>HYPERLINK("https://bluetooth.atlassian.net/browse/ES-14702",14702)</f>
        <v>14702</v>
      </c>
      <c r="H201" s="77" t="s">
        <v>624</v>
      </c>
      <c r="I201" s="2"/>
      <c r="J201" s="2"/>
      <c r="K201" s="2"/>
    </row>
    <row r="202" spans="1:11" ht="13" x14ac:dyDescent="0.6">
      <c r="A202" s="81">
        <f>HYPERLINK("https://bluetooth.atlassian.net/browse/ES-16299",16299)</f>
        <v>16299</v>
      </c>
      <c r="B202" s="74" t="s">
        <v>71</v>
      </c>
      <c r="C202" s="74" t="s">
        <v>344</v>
      </c>
      <c r="D202" s="74" t="s">
        <v>305</v>
      </c>
      <c r="E202" s="82" t="s">
        <v>2</v>
      </c>
      <c r="F202" s="74"/>
      <c r="G202" s="87">
        <f>HYPERLINK("https://bluetooth.atlassian.net/browse/ES-16367",16367)</f>
        <v>16367</v>
      </c>
      <c r="H202" s="75" t="s">
        <v>460</v>
      </c>
      <c r="I202" s="2"/>
      <c r="J202" s="2"/>
      <c r="K202" s="2"/>
    </row>
    <row r="203" spans="1:11" ht="13" x14ac:dyDescent="0.6">
      <c r="A203" s="83">
        <f>HYPERLINK("https://bluetooth.atlassian.net/browse/ES-14617",14617)</f>
        <v>14617</v>
      </c>
      <c r="B203" s="76" t="s">
        <v>71</v>
      </c>
      <c r="C203" s="76" t="s">
        <v>438</v>
      </c>
      <c r="D203" s="76" t="s">
        <v>305</v>
      </c>
      <c r="E203" s="84" t="s">
        <v>2</v>
      </c>
      <c r="F203" s="76"/>
      <c r="G203" s="88">
        <f>HYPERLINK("https://bluetooth.atlassian.net/browse/ES-12807",12807)</f>
        <v>12807</v>
      </c>
      <c r="H203" s="77" t="s">
        <v>627</v>
      </c>
      <c r="I203" s="2"/>
      <c r="J203" s="2"/>
      <c r="K203" s="2"/>
    </row>
    <row r="204" spans="1:11" ht="13" x14ac:dyDescent="0.6">
      <c r="A204" s="81">
        <f>HYPERLINK("https://bluetooth.atlassian.net/browse/ES-15152",15152)</f>
        <v>15152</v>
      </c>
      <c r="B204" s="74" t="s">
        <v>71</v>
      </c>
      <c r="C204" s="74" t="s">
        <v>394</v>
      </c>
      <c r="D204" s="74" t="s">
        <v>305</v>
      </c>
      <c r="E204" s="82" t="s">
        <v>2</v>
      </c>
      <c r="F204" s="74"/>
      <c r="G204" s="74"/>
      <c r="H204" s="75" t="s">
        <v>204</v>
      </c>
      <c r="I204" s="2"/>
      <c r="J204" s="2"/>
      <c r="K204" s="2"/>
    </row>
    <row r="205" spans="1:11" ht="13" x14ac:dyDescent="0.6">
      <c r="A205" s="83">
        <f>HYPERLINK("https://bluetooth.atlassian.net/browse/ES-13246",13246)</f>
        <v>13246</v>
      </c>
      <c r="B205" s="76" t="s">
        <v>71</v>
      </c>
      <c r="C205" s="76" t="s">
        <v>101</v>
      </c>
      <c r="D205" s="76" t="s">
        <v>305</v>
      </c>
      <c r="E205" s="84" t="s">
        <v>2</v>
      </c>
      <c r="F205" s="76"/>
      <c r="G205" s="76"/>
      <c r="H205" s="77" t="s">
        <v>204</v>
      </c>
      <c r="I205" s="2"/>
      <c r="J205" s="2"/>
      <c r="K205" s="2"/>
    </row>
    <row r="206" spans="1:11" ht="26" x14ac:dyDescent="0.6">
      <c r="A206" s="81">
        <f>HYPERLINK("https://bluetooth.atlassian.net/browse/ES-13252",13252)</f>
        <v>13252</v>
      </c>
      <c r="B206" s="74" t="s">
        <v>71</v>
      </c>
      <c r="C206" s="74" t="s">
        <v>488</v>
      </c>
      <c r="D206" s="74" t="s">
        <v>305</v>
      </c>
      <c r="E206" s="82" t="s">
        <v>2</v>
      </c>
      <c r="F206" s="74"/>
      <c r="G206" s="74"/>
      <c r="H206" s="75" t="s">
        <v>204</v>
      </c>
      <c r="I206" s="2"/>
      <c r="J206" s="2"/>
      <c r="K206" s="2"/>
    </row>
    <row r="207" spans="1:11" ht="13" x14ac:dyDescent="0.6">
      <c r="A207" s="83">
        <f>HYPERLINK("https://bluetooth.atlassian.net/browse/ES-13253",13253)</f>
        <v>13253</v>
      </c>
      <c r="B207" s="76" t="s">
        <v>71</v>
      </c>
      <c r="C207" s="76" t="s">
        <v>104</v>
      </c>
      <c r="D207" s="76" t="s">
        <v>305</v>
      </c>
      <c r="E207" s="84" t="s">
        <v>2</v>
      </c>
      <c r="F207" s="76"/>
      <c r="G207" s="76"/>
      <c r="H207" s="77" t="s">
        <v>204</v>
      </c>
      <c r="I207" s="2"/>
      <c r="J207" s="2"/>
      <c r="K207" s="2"/>
    </row>
    <row r="208" spans="1:11" ht="13" x14ac:dyDescent="0.6">
      <c r="A208" s="81">
        <f>HYPERLINK("https://bluetooth.atlassian.net/browse/ES-13375",13375)</f>
        <v>13375</v>
      </c>
      <c r="B208" s="74" t="s">
        <v>71</v>
      </c>
      <c r="C208" s="74" t="s">
        <v>121</v>
      </c>
      <c r="D208" s="74" t="s">
        <v>305</v>
      </c>
      <c r="E208" s="82" t="s">
        <v>2</v>
      </c>
      <c r="F208" s="74"/>
      <c r="G208" s="74"/>
      <c r="H208" s="75" t="s">
        <v>204</v>
      </c>
      <c r="I208" s="2"/>
      <c r="J208" s="2"/>
      <c r="K208" s="2"/>
    </row>
    <row r="209" spans="1:11" ht="13" x14ac:dyDescent="0.6">
      <c r="A209" s="83">
        <f>HYPERLINK("https://bluetooth.atlassian.net/browse/ES-13376",13376)</f>
        <v>13376</v>
      </c>
      <c r="B209" s="76" t="s">
        <v>71</v>
      </c>
      <c r="C209" s="76" t="s">
        <v>453</v>
      </c>
      <c r="D209" s="76" t="s">
        <v>305</v>
      </c>
      <c r="E209" s="84" t="s">
        <v>2</v>
      </c>
      <c r="F209" s="76"/>
      <c r="G209" s="76"/>
      <c r="H209" s="77" t="s">
        <v>204</v>
      </c>
      <c r="I209" s="2"/>
      <c r="J209" s="2"/>
      <c r="K209" s="2"/>
    </row>
    <row r="210" spans="1:11" ht="13" x14ac:dyDescent="0.6">
      <c r="A210" s="81">
        <f>HYPERLINK("https://bluetooth.atlassian.net/browse/ES-13377",13377)</f>
        <v>13377</v>
      </c>
      <c r="B210" s="74" t="s">
        <v>71</v>
      </c>
      <c r="C210" s="74" t="s">
        <v>122</v>
      </c>
      <c r="D210" s="74" t="s">
        <v>305</v>
      </c>
      <c r="E210" s="82" t="s">
        <v>2</v>
      </c>
      <c r="F210" s="74"/>
      <c r="G210" s="74"/>
      <c r="H210" s="75" t="s">
        <v>204</v>
      </c>
      <c r="I210" s="2"/>
      <c r="J210" s="2"/>
      <c r="K210" s="2"/>
    </row>
    <row r="211" spans="1:11" ht="13" x14ac:dyDescent="0.6">
      <c r="A211" s="83">
        <f>HYPERLINK("https://bluetooth.atlassian.net/browse/ES-13379",13379)</f>
        <v>13379</v>
      </c>
      <c r="B211" s="76" t="s">
        <v>71</v>
      </c>
      <c r="C211" s="76" t="s">
        <v>452</v>
      </c>
      <c r="D211" s="76" t="s">
        <v>305</v>
      </c>
      <c r="E211" s="84" t="s">
        <v>2</v>
      </c>
      <c r="F211" s="76"/>
      <c r="G211" s="76"/>
      <c r="H211" s="77"/>
      <c r="I211" s="2"/>
      <c r="J211" s="2"/>
      <c r="K211" s="2"/>
    </row>
    <row r="212" spans="1:11" ht="13" x14ac:dyDescent="0.6">
      <c r="A212" s="81">
        <f>HYPERLINK("https://bluetooth.atlassian.net/browse/ES-13438",13438)</f>
        <v>13438</v>
      </c>
      <c r="B212" s="74" t="s">
        <v>71</v>
      </c>
      <c r="C212" s="74" t="s">
        <v>127</v>
      </c>
      <c r="D212" s="74" t="s">
        <v>305</v>
      </c>
      <c r="E212" s="82" t="s">
        <v>2</v>
      </c>
      <c r="F212" s="74"/>
      <c r="G212" s="74"/>
      <c r="H212" s="75" t="s">
        <v>204</v>
      </c>
      <c r="I212" s="2"/>
      <c r="J212" s="2"/>
      <c r="K212" s="2"/>
    </row>
    <row r="213" spans="1:11" ht="13" x14ac:dyDescent="0.6">
      <c r="A213" s="83">
        <f>HYPERLINK("https://bluetooth.atlassian.net/browse/ES-13527",13527)</f>
        <v>13527</v>
      </c>
      <c r="B213" s="76" t="s">
        <v>71</v>
      </c>
      <c r="C213" s="76" t="s">
        <v>442</v>
      </c>
      <c r="D213" s="76" t="s">
        <v>305</v>
      </c>
      <c r="E213" s="84" t="s">
        <v>2</v>
      </c>
      <c r="F213" s="76"/>
      <c r="G213" s="76"/>
      <c r="H213" s="77" t="s">
        <v>204</v>
      </c>
      <c r="I213" s="2"/>
      <c r="J213" s="2"/>
      <c r="K213" s="2"/>
    </row>
    <row r="214" spans="1:11" ht="13" x14ac:dyDescent="0.6">
      <c r="A214" s="81">
        <f>HYPERLINK("https://bluetooth.atlassian.net/browse/ES-13597",13597)</f>
        <v>13597</v>
      </c>
      <c r="B214" s="74" t="s">
        <v>71</v>
      </c>
      <c r="C214" s="74" t="s">
        <v>139</v>
      </c>
      <c r="D214" s="74" t="s">
        <v>305</v>
      </c>
      <c r="E214" s="82" t="s">
        <v>2</v>
      </c>
      <c r="F214" s="74"/>
      <c r="G214" s="74"/>
      <c r="H214" s="75" t="s">
        <v>204</v>
      </c>
      <c r="I214" s="2"/>
      <c r="J214" s="2"/>
      <c r="K214" s="2"/>
    </row>
    <row r="215" spans="1:11" ht="13" x14ac:dyDescent="0.6">
      <c r="A215" s="83">
        <f>HYPERLINK("https://bluetooth.atlassian.net/browse/ES-14771",14771)</f>
        <v>14771</v>
      </c>
      <c r="B215" s="76" t="s">
        <v>71</v>
      </c>
      <c r="C215" s="76" t="s">
        <v>425</v>
      </c>
      <c r="D215" s="76" t="s">
        <v>305</v>
      </c>
      <c r="E215" s="84" t="s">
        <v>2</v>
      </c>
      <c r="F215" s="76"/>
      <c r="G215" s="76"/>
      <c r="H215" s="77" t="s">
        <v>204</v>
      </c>
      <c r="I215" s="2"/>
      <c r="J215" s="2"/>
      <c r="K215" s="2"/>
    </row>
    <row r="216" spans="1:11" ht="26" x14ac:dyDescent="0.6">
      <c r="A216" s="81">
        <f>HYPERLINK("https://bluetooth.atlassian.net/browse/ES-14824",14824)</f>
        <v>14824</v>
      </c>
      <c r="B216" s="74" t="s">
        <v>71</v>
      </c>
      <c r="C216" s="74" t="s">
        <v>421</v>
      </c>
      <c r="D216" s="74" t="s">
        <v>305</v>
      </c>
      <c r="E216" s="82" t="s">
        <v>2</v>
      </c>
      <c r="F216" s="74"/>
      <c r="G216" s="74"/>
      <c r="H216" s="75" t="s">
        <v>204</v>
      </c>
      <c r="I216" s="2"/>
      <c r="J216" s="2"/>
      <c r="K216" s="2"/>
    </row>
    <row r="217" spans="1:11" ht="13" x14ac:dyDescent="0.6">
      <c r="A217" s="83">
        <f>HYPERLINK("https://bluetooth.atlassian.net/browse/ES-14834",14834)</f>
        <v>14834</v>
      </c>
      <c r="B217" s="76" t="s">
        <v>71</v>
      </c>
      <c r="C217" s="76" t="s">
        <v>599</v>
      </c>
      <c r="D217" s="76" t="s">
        <v>305</v>
      </c>
      <c r="E217" s="84" t="s">
        <v>2</v>
      </c>
      <c r="F217" s="76"/>
      <c r="G217" s="76"/>
      <c r="H217" s="77" t="s">
        <v>204</v>
      </c>
      <c r="I217" s="2"/>
      <c r="J217" s="2"/>
      <c r="K217" s="2"/>
    </row>
    <row r="218" spans="1:11" ht="13" x14ac:dyDescent="0.6">
      <c r="A218" s="81">
        <f>HYPERLINK("https://bluetooth.atlassian.net/browse/ES-14867",14867)</f>
        <v>14867</v>
      </c>
      <c r="B218" s="74" t="s">
        <v>71</v>
      </c>
      <c r="C218" s="74" t="s">
        <v>167</v>
      </c>
      <c r="D218" s="74" t="s">
        <v>305</v>
      </c>
      <c r="E218" s="82" t="s">
        <v>2</v>
      </c>
      <c r="F218" s="74"/>
      <c r="G218" s="74"/>
      <c r="H218" s="75" t="s">
        <v>204</v>
      </c>
      <c r="I218" s="2"/>
      <c r="J218" s="2"/>
      <c r="K218" s="2"/>
    </row>
    <row r="219" spans="1:11" ht="26" x14ac:dyDescent="0.6">
      <c r="A219" s="83">
        <f>HYPERLINK("https://bluetooth.atlassian.net/browse/ES-15030",15030)</f>
        <v>15030</v>
      </c>
      <c r="B219" s="76" t="s">
        <v>71</v>
      </c>
      <c r="C219" s="76" t="s">
        <v>406</v>
      </c>
      <c r="D219" s="76" t="s">
        <v>305</v>
      </c>
      <c r="E219" s="84" t="s">
        <v>2</v>
      </c>
      <c r="F219" s="76"/>
      <c r="G219" s="76"/>
      <c r="H219" s="77" t="s">
        <v>204</v>
      </c>
      <c r="I219" s="2"/>
      <c r="J219" s="2"/>
      <c r="K219" s="2"/>
    </row>
    <row r="220" spans="1:11" ht="12.95" customHeight="1" x14ac:dyDescent="0.6">
      <c r="A220" s="81">
        <f>HYPERLINK("https://bluetooth.atlassian.net/browse/ES-15132",15132)</f>
        <v>15132</v>
      </c>
      <c r="B220" s="74" t="s">
        <v>71</v>
      </c>
      <c r="C220" s="74" t="s">
        <v>396</v>
      </c>
      <c r="D220" s="74" t="s">
        <v>305</v>
      </c>
      <c r="E220" s="82" t="s">
        <v>2</v>
      </c>
      <c r="F220" s="74"/>
      <c r="G220" s="74"/>
      <c r="H220" s="75" t="s">
        <v>204</v>
      </c>
      <c r="I220" s="2"/>
      <c r="J220" s="2"/>
      <c r="K220" s="2"/>
    </row>
    <row r="221" spans="1:11" ht="13" x14ac:dyDescent="0.6">
      <c r="A221" s="83">
        <f>HYPERLINK("https://bluetooth.atlassian.net/browse/ES-15275",15275)</f>
        <v>15275</v>
      </c>
      <c r="B221" s="76" t="s">
        <v>71</v>
      </c>
      <c r="C221" s="76" t="s">
        <v>387</v>
      </c>
      <c r="D221" s="76" t="s">
        <v>305</v>
      </c>
      <c r="E221" s="84" t="s">
        <v>2</v>
      </c>
      <c r="F221" s="76"/>
      <c r="G221" s="76"/>
      <c r="H221" s="77"/>
      <c r="I221" s="2"/>
      <c r="J221" s="2"/>
      <c r="K221" s="2"/>
    </row>
    <row r="222" spans="1:11" ht="13" x14ac:dyDescent="0.6">
      <c r="A222" s="81">
        <f>HYPERLINK("https://bluetooth.atlassian.net/browse/ES-15378",15378)</f>
        <v>15378</v>
      </c>
      <c r="B222" s="74" t="s">
        <v>71</v>
      </c>
      <c r="C222" s="74" t="s">
        <v>265</v>
      </c>
      <c r="D222" s="74" t="s">
        <v>305</v>
      </c>
      <c r="E222" s="82" t="s">
        <v>2</v>
      </c>
      <c r="F222" s="74"/>
      <c r="G222" s="74"/>
      <c r="H222" s="75"/>
      <c r="I222" s="2"/>
      <c r="J222" s="2"/>
      <c r="K222" s="2"/>
    </row>
    <row r="223" spans="1:11" ht="13" x14ac:dyDescent="0.6">
      <c r="A223" s="83">
        <f>HYPERLINK("https://bluetooth.atlassian.net/browse/ES-15509",15509)</f>
        <v>15509</v>
      </c>
      <c r="B223" s="76" t="s">
        <v>71</v>
      </c>
      <c r="C223" s="76" t="s">
        <v>274</v>
      </c>
      <c r="D223" s="76" t="s">
        <v>305</v>
      </c>
      <c r="E223" s="84" t="s">
        <v>2</v>
      </c>
      <c r="F223" s="76"/>
      <c r="G223" s="76"/>
      <c r="H223" s="77"/>
      <c r="I223" s="2"/>
      <c r="J223" s="2"/>
      <c r="K223" s="2"/>
    </row>
    <row r="224" spans="1:11" ht="12.95" customHeight="1" x14ac:dyDescent="0.6">
      <c r="A224" s="81">
        <f>HYPERLINK("https://bluetooth.atlassian.net/browse/ES-15524",15524)</f>
        <v>15524</v>
      </c>
      <c r="B224" s="74" t="s">
        <v>71</v>
      </c>
      <c r="C224" s="74" t="s">
        <v>371</v>
      </c>
      <c r="D224" s="74" t="s">
        <v>305</v>
      </c>
      <c r="E224" s="82" t="s">
        <v>2</v>
      </c>
      <c r="F224" s="74"/>
      <c r="G224" s="74"/>
      <c r="H224" s="75"/>
      <c r="I224" s="2"/>
      <c r="J224" s="2"/>
      <c r="K224" s="2"/>
    </row>
    <row r="225" spans="1:11" ht="13" x14ac:dyDescent="0.6">
      <c r="A225" s="83">
        <f>HYPERLINK("https://bluetooth.atlassian.net/browse/ES-15826",15826)</f>
        <v>15826</v>
      </c>
      <c r="B225" s="76" t="s">
        <v>71</v>
      </c>
      <c r="C225" s="76" t="s">
        <v>295</v>
      </c>
      <c r="D225" s="76" t="s">
        <v>305</v>
      </c>
      <c r="E225" s="84" t="s">
        <v>2</v>
      </c>
      <c r="F225" s="76"/>
      <c r="G225" s="76"/>
      <c r="H225" s="77"/>
      <c r="I225" s="2"/>
      <c r="J225" s="2"/>
      <c r="K225" s="2"/>
    </row>
    <row r="226" spans="1:11" ht="13" x14ac:dyDescent="0.6">
      <c r="A226" s="81">
        <f>HYPERLINK("https://bluetooth.atlassian.net/browse/ES-16329",16329)</f>
        <v>16329</v>
      </c>
      <c r="B226" s="74" t="s">
        <v>71</v>
      </c>
      <c r="C226" s="74" t="s">
        <v>342</v>
      </c>
      <c r="D226" s="74" t="s">
        <v>305</v>
      </c>
      <c r="E226" s="82" t="s">
        <v>2</v>
      </c>
      <c r="F226" s="74"/>
      <c r="G226" s="74"/>
      <c r="H226" s="75"/>
      <c r="I226" s="2"/>
      <c r="J226" s="2"/>
      <c r="K226" s="2"/>
    </row>
    <row r="227" spans="1:11" ht="13" x14ac:dyDescent="0.6">
      <c r="A227" s="83">
        <f>HYPERLINK("https://bluetooth.atlassian.net/browse/ES-16318 ",16318)</f>
        <v>16318</v>
      </c>
      <c r="B227" s="76" t="s">
        <v>71</v>
      </c>
      <c r="C227" s="76" t="s">
        <v>499</v>
      </c>
      <c r="D227" s="76" t="s">
        <v>305</v>
      </c>
      <c r="E227" s="84" t="s">
        <v>2</v>
      </c>
      <c r="F227" s="76"/>
      <c r="G227" s="76"/>
      <c r="H227" s="77"/>
      <c r="I227" s="2"/>
      <c r="J227" s="2"/>
      <c r="K227" s="2"/>
    </row>
    <row r="228" spans="1:11" ht="13" x14ac:dyDescent="0.6">
      <c r="A228" s="81">
        <f>HYPERLINK("https://bluetooth.atlassian.net/browse/ES-16435 ",16435)</f>
        <v>16435</v>
      </c>
      <c r="B228" s="74" t="s">
        <v>71</v>
      </c>
      <c r="C228" s="74" t="s">
        <v>506</v>
      </c>
      <c r="D228" s="74" t="s">
        <v>305</v>
      </c>
      <c r="E228" s="82" t="s">
        <v>2</v>
      </c>
      <c r="F228" s="74"/>
      <c r="G228" s="74"/>
      <c r="H228" s="75"/>
      <c r="I228" s="2"/>
      <c r="J228" s="2"/>
      <c r="K228" s="2"/>
    </row>
    <row r="229" spans="1:11" ht="13" x14ac:dyDescent="0.6">
      <c r="A229" s="83">
        <f>HYPERLINK("https://bluetooth.atlassian.net/browse/ES-16636 ",16636)</f>
        <v>16636</v>
      </c>
      <c r="B229" s="76" t="s">
        <v>71</v>
      </c>
      <c r="C229" s="76" t="s">
        <v>528</v>
      </c>
      <c r="D229" s="76" t="s">
        <v>305</v>
      </c>
      <c r="E229" s="84" t="s">
        <v>2</v>
      </c>
      <c r="F229" s="76"/>
      <c r="G229" s="76"/>
      <c r="H229" s="77"/>
      <c r="I229" s="2"/>
      <c r="J229" s="2"/>
      <c r="K229" s="2"/>
    </row>
    <row r="230" spans="1:11" ht="13" x14ac:dyDescent="0.6">
      <c r="A230" s="81">
        <f>HYPERLINK("https://bluetooth.atlassian.net/browse/ES-14636",14636)</f>
        <v>14636</v>
      </c>
      <c r="B230" s="74" t="s">
        <v>71</v>
      </c>
      <c r="C230" s="74" t="s">
        <v>437</v>
      </c>
      <c r="D230" s="74" t="s">
        <v>305</v>
      </c>
      <c r="E230" s="82" t="s">
        <v>2</v>
      </c>
      <c r="F230" s="74"/>
      <c r="G230" s="74"/>
      <c r="H230" s="75" t="s">
        <v>204</v>
      </c>
      <c r="I230" s="2"/>
      <c r="J230" s="2"/>
      <c r="K230" s="2"/>
    </row>
    <row r="231" spans="1:11" ht="13" x14ac:dyDescent="0.6">
      <c r="A231" s="83">
        <f>HYPERLINK("https://bluetooth.atlassian.net/browse/ES-14713",14713)</f>
        <v>14713</v>
      </c>
      <c r="B231" s="76" t="s">
        <v>71</v>
      </c>
      <c r="C231" s="76" t="s">
        <v>155</v>
      </c>
      <c r="D231" s="76" t="s">
        <v>305</v>
      </c>
      <c r="E231" s="84" t="s">
        <v>2</v>
      </c>
      <c r="F231" s="76"/>
      <c r="G231" s="76"/>
      <c r="H231" s="77" t="s">
        <v>204</v>
      </c>
      <c r="I231" s="2"/>
      <c r="J231" s="2"/>
      <c r="K231" s="2"/>
    </row>
    <row r="232" spans="1:11" ht="13" x14ac:dyDescent="0.6">
      <c r="A232" s="81">
        <f>HYPERLINK("https://bluetooth.atlassian.net/browse/ES-14830",14830)</f>
        <v>14830</v>
      </c>
      <c r="B232" s="74" t="s">
        <v>71</v>
      </c>
      <c r="C232" s="74" t="s">
        <v>420</v>
      </c>
      <c r="D232" s="74" t="s">
        <v>305</v>
      </c>
      <c r="E232" s="82" t="s">
        <v>2</v>
      </c>
      <c r="F232" s="74"/>
      <c r="G232" s="74"/>
      <c r="H232" s="75" t="s">
        <v>204</v>
      </c>
      <c r="I232" s="2"/>
      <c r="J232" s="2"/>
      <c r="K232" s="2"/>
    </row>
    <row r="233" spans="1:11" ht="26" x14ac:dyDescent="0.6">
      <c r="A233" s="83">
        <f>HYPERLINK("https://bluetooth.atlassian.net/browse/ES-14871",14871)</f>
        <v>14871</v>
      </c>
      <c r="B233" s="76" t="s">
        <v>71</v>
      </c>
      <c r="C233" s="76" t="s">
        <v>418</v>
      </c>
      <c r="D233" s="76" t="s">
        <v>305</v>
      </c>
      <c r="E233" s="84" t="s">
        <v>2</v>
      </c>
      <c r="F233" s="76"/>
      <c r="G233" s="76"/>
      <c r="H233" s="77" t="s">
        <v>204</v>
      </c>
      <c r="I233" s="2"/>
      <c r="J233" s="2"/>
      <c r="K233" s="2"/>
    </row>
    <row r="234" spans="1:11" ht="12.95" customHeight="1" x14ac:dyDescent="0.6">
      <c r="A234" s="81">
        <f>HYPERLINK("https://bluetooth.atlassian.net/browse/ES-15034",15034)</f>
        <v>15034</v>
      </c>
      <c r="B234" s="74" t="s">
        <v>71</v>
      </c>
      <c r="C234" s="74" t="s">
        <v>404</v>
      </c>
      <c r="D234" s="74" t="s">
        <v>305</v>
      </c>
      <c r="E234" s="82" t="s">
        <v>2</v>
      </c>
      <c r="F234" s="74"/>
      <c r="G234" s="74"/>
      <c r="H234" s="75" t="s">
        <v>204</v>
      </c>
      <c r="I234" s="2"/>
      <c r="J234" s="2"/>
      <c r="K234" s="2"/>
    </row>
    <row r="235" spans="1:11" ht="13" x14ac:dyDescent="0.6">
      <c r="A235" s="83">
        <f>HYPERLINK("https://bluetooth.atlassian.net/browse/ES-15109",15109)</f>
        <v>15109</v>
      </c>
      <c r="B235" s="76" t="s">
        <v>71</v>
      </c>
      <c r="C235" s="76" t="s">
        <v>397</v>
      </c>
      <c r="D235" s="76" t="s">
        <v>305</v>
      </c>
      <c r="E235" s="84" t="s">
        <v>2</v>
      </c>
      <c r="F235" s="76"/>
      <c r="G235" s="76"/>
      <c r="H235" s="77" t="s">
        <v>204</v>
      </c>
      <c r="I235" s="2"/>
      <c r="J235" s="2"/>
      <c r="K235" s="2"/>
    </row>
    <row r="236" spans="1:11" ht="13" x14ac:dyDescent="0.6">
      <c r="A236" s="81">
        <f>HYPERLINK("https://bluetooth.atlassian.net/browse/ES-15695",15695)</f>
        <v>15695</v>
      </c>
      <c r="B236" s="74" t="s">
        <v>71</v>
      </c>
      <c r="C236" s="74" t="s">
        <v>359</v>
      </c>
      <c r="D236" s="74" t="s">
        <v>305</v>
      </c>
      <c r="E236" s="82" t="s">
        <v>2</v>
      </c>
      <c r="F236" s="74"/>
      <c r="G236" s="74"/>
      <c r="H236" s="75"/>
      <c r="I236" s="2"/>
      <c r="J236" s="2"/>
      <c r="K236" s="2"/>
    </row>
    <row r="237" spans="1:11" ht="13" x14ac:dyDescent="0.6">
      <c r="A237" s="83">
        <f>HYPERLINK("https://bluetooth.atlassian.net/browse/ES-16561 ",16561)</f>
        <v>16561</v>
      </c>
      <c r="B237" s="76" t="s">
        <v>71</v>
      </c>
      <c r="C237" s="76" t="s">
        <v>523</v>
      </c>
      <c r="D237" s="76" t="s">
        <v>307</v>
      </c>
      <c r="E237" s="84" t="s">
        <v>2</v>
      </c>
      <c r="F237" s="76"/>
      <c r="G237" s="76"/>
      <c r="H237" s="77"/>
      <c r="I237" s="2"/>
      <c r="J237" s="2"/>
      <c r="K237" s="2"/>
    </row>
    <row r="238" spans="1:11" ht="13" x14ac:dyDescent="0.6">
      <c r="A238" s="81">
        <f>HYPERLINK("https://bluetooth.atlassian.net/browse/ES-16822",16822)</f>
        <v>16822</v>
      </c>
      <c r="B238" s="74" t="s">
        <v>71</v>
      </c>
      <c r="C238" s="74" t="s">
        <v>612</v>
      </c>
      <c r="D238" s="74" t="s">
        <v>613</v>
      </c>
      <c r="E238" s="82" t="s">
        <v>2</v>
      </c>
      <c r="F238" s="74"/>
      <c r="G238" s="74"/>
      <c r="H238" s="75"/>
      <c r="I238" s="2"/>
      <c r="J238" s="2"/>
      <c r="K238" s="2"/>
    </row>
    <row r="239" spans="1:11" ht="13" x14ac:dyDescent="0.6">
      <c r="A239" s="83">
        <f>HYPERLINK("https://bluetooth.atlassian.net/browse/ES-14674",14674)</f>
        <v>14674</v>
      </c>
      <c r="B239" s="76" t="s">
        <v>144</v>
      </c>
      <c r="C239" s="76" t="s">
        <v>145</v>
      </c>
      <c r="D239" s="76" t="s">
        <v>305</v>
      </c>
      <c r="E239" s="84" t="s">
        <v>2</v>
      </c>
      <c r="F239" s="76"/>
      <c r="G239" s="76"/>
      <c r="H239" s="77" t="s">
        <v>204</v>
      </c>
      <c r="I239" s="2"/>
      <c r="J239" s="2"/>
      <c r="K239" s="2"/>
    </row>
    <row r="240" spans="1:11" ht="12.95" customHeight="1" x14ac:dyDescent="0.6">
      <c r="A240" s="81">
        <f>HYPERLINK("https://bluetooth.atlassian.net/browse/ES-16278 ",16278)</f>
        <v>16278</v>
      </c>
      <c r="B240" s="74" t="s">
        <v>72</v>
      </c>
      <c r="C240" s="74" t="s">
        <v>497</v>
      </c>
      <c r="D240" s="74" t="s">
        <v>305</v>
      </c>
      <c r="E240" s="82" t="s">
        <v>2</v>
      </c>
      <c r="F240" s="74"/>
      <c r="G240" s="74"/>
      <c r="H240" s="75"/>
      <c r="I240" s="2"/>
      <c r="J240" s="2"/>
      <c r="K240" s="2"/>
    </row>
    <row r="241" spans="1:11" ht="12.95" customHeight="1" x14ac:dyDescent="0.6">
      <c r="A241" s="83">
        <f>HYPERLINK("https://bluetooth.atlassian.net/browse/ES-13082",13082)</f>
        <v>13082</v>
      </c>
      <c r="B241" s="76" t="s">
        <v>72</v>
      </c>
      <c r="C241" s="76" t="s">
        <v>73</v>
      </c>
      <c r="D241" s="76" t="s">
        <v>305</v>
      </c>
      <c r="E241" s="84" t="s">
        <v>2</v>
      </c>
      <c r="F241" s="76"/>
      <c r="G241" s="76"/>
      <c r="H241" s="77" t="s">
        <v>204</v>
      </c>
      <c r="I241" s="2"/>
      <c r="J241" s="2"/>
      <c r="K241" s="2"/>
    </row>
    <row r="242" spans="1:11" ht="26" x14ac:dyDescent="0.6">
      <c r="A242" s="81">
        <f>HYPERLINK("https://bluetooth.atlassian.net/browse/ES-13083",13083)</f>
        <v>13083</v>
      </c>
      <c r="B242" s="74" t="s">
        <v>72</v>
      </c>
      <c r="C242" s="74" t="s">
        <v>480</v>
      </c>
      <c r="D242" s="74" t="s">
        <v>305</v>
      </c>
      <c r="E242" s="82" t="s">
        <v>2</v>
      </c>
      <c r="F242" s="74"/>
      <c r="G242" s="74"/>
      <c r="H242" s="75" t="s">
        <v>204</v>
      </c>
      <c r="I242" s="2"/>
      <c r="J242" s="2"/>
      <c r="K242" s="2"/>
    </row>
    <row r="243" spans="1:11" ht="12.95" customHeight="1" x14ac:dyDescent="0.6">
      <c r="A243" s="83">
        <f>HYPERLINK("https://bluetooth.atlassian.net/browse/ES-13085",13085)</f>
        <v>13085</v>
      </c>
      <c r="B243" s="76" t="s">
        <v>72</v>
      </c>
      <c r="C243" s="76" t="s">
        <v>642</v>
      </c>
      <c r="D243" s="76" t="s">
        <v>305</v>
      </c>
      <c r="E243" s="84" t="s">
        <v>2</v>
      </c>
      <c r="F243" s="76"/>
      <c r="G243" s="76"/>
      <c r="H243" s="77" t="s">
        <v>204</v>
      </c>
      <c r="I243" s="2"/>
      <c r="J243" s="2"/>
      <c r="K243" s="2"/>
    </row>
    <row r="244" spans="1:11" ht="12.95" customHeight="1" x14ac:dyDescent="0.6">
      <c r="A244" s="81">
        <f>HYPERLINK("https://bluetooth.atlassian.net/browse/ES-13086",13086)</f>
        <v>13086</v>
      </c>
      <c r="B244" s="74" t="s">
        <v>72</v>
      </c>
      <c r="C244" s="74" t="s">
        <v>74</v>
      </c>
      <c r="D244" s="74" t="s">
        <v>305</v>
      </c>
      <c r="E244" s="82" t="s">
        <v>2</v>
      </c>
      <c r="F244" s="74"/>
      <c r="G244" s="74"/>
      <c r="H244" s="75" t="s">
        <v>204</v>
      </c>
      <c r="I244" s="2"/>
      <c r="J244" s="2"/>
      <c r="K244" s="2"/>
    </row>
    <row r="245" spans="1:11" ht="26" x14ac:dyDescent="0.6">
      <c r="A245" s="83">
        <f>HYPERLINK("https://bluetooth.atlassian.net/browse/ES-13251",13251)</f>
        <v>13251</v>
      </c>
      <c r="B245" s="76" t="s">
        <v>72</v>
      </c>
      <c r="C245" s="76" t="s">
        <v>487</v>
      </c>
      <c r="D245" s="76" t="s">
        <v>305</v>
      </c>
      <c r="E245" s="84" t="s">
        <v>2</v>
      </c>
      <c r="F245" s="76"/>
      <c r="G245" s="76"/>
      <c r="H245" s="77" t="s">
        <v>204</v>
      </c>
      <c r="I245" s="2"/>
      <c r="J245" s="2"/>
      <c r="K245" s="2"/>
    </row>
    <row r="246" spans="1:11" ht="12.95" customHeight="1" x14ac:dyDescent="0.6">
      <c r="A246" s="81">
        <f>HYPERLINK("https://bluetooth.atlassian.net/browse/ES-13316",13316)</f>
        <v>13316</v>
      </c>
      <c r="B246" s="74" t="s">
        <v>72</v>
      </c>
      <c r="C246" s="74" t="s">
        <v>116</v>
      </c>
      <c r="D246" s="74" t="s">
        <v>305</v>
      </c>
      <c r="E246" s="82" t="s">
        <v>2</v>
      </c>
      <c r="F246" s="74"/>
      <c r="G246" s="74"/>
      <c r="H246" s="75" t="s">
        <v>204</v>
      </c>
      <c r="I246" s="2"/>
      <c r="J246" s="2"/>
      <c r="K246" s="2"/>
    </row>
    <row r="247" spans="1:11" ht="26" x14ac:dyDescent="0.6">
      <c r="A247" s="83">
        <f>HYPERLINK("https://bluetooth.atlassian.net/browse/ES-15672",15672)</f>
        <v>15672</v>
      </c>
      <c r="B247" s="76" t="s">
        <v>72</v>
      </c>
      <c r="C247" s="76" t="s">
        <v>360</v>
      </c>
      <c r="D247" s="76" t="s">
        <v>305</v>
      </c>
      <c r="E247" s="84" t="s">
        <v>2</v>
      </c>
      <c r="F247" s="76"/>
      <c r="G247" s="76"/>
      <c r="H247" s="77"/>
      <c r="I247" s="2"/>
      <c r="J247" s="2"/>
      <c r="K247" s="2"/>
    </row>
    <row r="248" spans="1:11" ht="12.95" customHeight="1" x14ac:dyDescent="0.6">
      <c r="A248" s="81">
        <f>HYPERLINK("https://bluetooth.atlassian.net/browse/ES-15963",15963)</f>
        <v>15963</v>
      </c>
      <c r="B248" s="74" t="s">
        <v>72</v>
      </c>
      <c r="C248" s="74" t="s">
        <v>352</v>
      </c>
      <c r="D248" s="74" t="s">
        <v>307</v>
      </c>
      <c r="E248" s="82" t="s">
        <v>2</v>
      </c>
      <c r="F248" s="74"/>
      <c r="G248" s="87">
        <f>HYPERLINK("https://bluetooth.atlassian.net/browse/ES-16134",16134)</f>
        <v>16134</v>
      </c>
      <c r="H248" s="75" t="s">
        <v>533</v>
      </c>
      <c r="I248" s="2"/>
      <c r="J248" s="2"/>
      <c r="K248" s="2"/>
    </row>
    <row r="249" spans="1:11" ht="13" x14ac:dyDescent="0.6">
      <c r="A249" s="83">
        <f>HYPERLINK("https://bluetooth.atlassian.net/browse/ES-15944",15944)</f>
        <v>15944</v>
      </c>
      <c r="B249" s="76" t="s">
        <v>141</v>
      </c>
      <c r="C249" s="76" t="s">
        <v>308</v>
      </c>
      <c r="D249" s="76" t="s">
        <v>305</v>
      </c>
      <c r="E249" s="84" t="s">
        <v>1</v>
      </c>
      <c r="F249" s="76">
        <v>1</v>
      </c>
      <c r="G249" s="88">
        <f>HYPERLINK("https://bluetooth.atlassian.net/browse/ES-16021",16021)</f>
        <v>16021</v>
      </c>
      <c r="H249" s="80" t="s">
        <v>1173</v>
      </c>
      <c r="I249" s="2"/>
      <c r="J249" s="2"/>
      <c r="K249" s="2"/>
    </row>
    <row r="250" spans="1:11" ht="12.95" customHeight="1" x14ac:dyDescent="0.6">
      <c r="A250" s="81">
        <f>HYPERLINK("https://bluetooth.atlassian.net/browse/ES-15323",15323)</f>
        <v>15323</v>
      </c>
      <c r="B250" s="74" t="s">
        <v>141</v>
      </c>
      <c r="C250" s="74" t="s">
        <v>382</v>
      </c>
      <c r="D250" s="74" t="s">
        <v>305</v>
      </c>
      <c r="E250" s="82" t="s">
        <v>1</v>
      </c>
      <c r="F250" s="74">
        <v>4</v>
      </c>
      <c r="G250" s="87">
        <f>HYPERLINK("https://bluetooth.atlassian.net/browse/ES-15918",15918)</f>
        <v>15918</v>
      </c>
      <c r="H250" s="78" t="s">
        <v>1174</v>
      </c>
      <c r="I250" s="2"/>
      <c r="J250" s="2"/>
      <c r="K250" s="2"/>
    </row>
    <row r="251" spans="1:11" ht="12.95" customHeight="1" x14ac:dyDescent="0.6">
      <c r="A251" s="83">
        <f>HYPERLINK("https://bluetooth.atlassian.net/browse/ES-15554",15554)</f>
        <v>15554</v>
      </c>
      <c r="B251" s="76" t="s">
        <v>141</v>
      </c>
      <c r="C251" s="76" t="s">
        <v>367</v>
      </c>
      <c r="D251" s="76" t="s">
        <v>305</v>
      </c>
      <c r="E251" s="84" t="s">
        <v>1</v>
      </c>
      <c r="F251" s="76">
        <v>4</v>
      </c>
      <c r="G251" s="88">
        <f>HYPERLINK("https://bluetooth.atlassian.net/browse/ES-15812",15812)</f>
        <v>15812</v>
      </c>
      <c r="H251" s="80" t="s">
        <v>1175</v>
      </c>
      <c r="I251" s="2"/>
      <c r="J251" s="2"/>
      <c r="K251" s="2"/>
    </row>
    <row r="252" spans="1:11" ht="25.5" customHeight="1" x14ac:dyDescent="0.6">
      <c r="A252" s="81">
        <f>HYPERLINK("https://bluetooth.atlassian.net/browse/ES-15833",15833)</f>
        <v>15833</v>
      </c>
      <c r="B252" s="74" t="s">
        <v>141</v>
      </c>
      <c r="C252" s="74" t="s">
        <v>356</v>
      </c>
      <c r="D252" s="74" t="s">
        <v>305</v>
      </c>
      <c r="E252" s="82" t="s">
        <v>1</v>
      </c>
      <c r="F252" s="74">
        <v>4</v>
      </c>
      <c r="G252" s="87">
        <f>HYPERLINK("https://bluetooth.atlassian.net/browse/ES-15868",15868)</f>
        <v>15868</v>
      </c>
      <c r="H252" s="78" t="s">
        <v>1176</v>
      </c>
      <c r="I252" s="2"/>
      <c r="J252" s="2"/>
      <c r="K252" s="2"/>
    </row>
    <row r="253" spans="1:11" ht="26" x14ac:dyDescent="0.6">
      <c r="A253" s="83">
        <f>HYPERLINK("https://bluetooth.atlassian.net/browse/ES-14605",14605)</f>
        <v>14605</v>
      </c>
      <c r="B253" s="76" t="s">
        <v>141</v>
      </c>
      <c r="C253" s="76" t="s">
        <v>439</v>
      </c>
      <c r="D253" s="76" t="s">
        <v>307</v>
      </c>
      <c r="E253" s="84" t="s">
        <v>1</v>
      </c>
      <c r="F253" s="76">
        <v>4</v>
      </c>
      <c r="G253" s="88">
        <f>HYPERLINK("https://bluetooth.atlassian.net/browse/ES-15271",15271)</f>
        <v>15271</v>
      </c>
      <c r="H253" s="79" t="s">
        <v>1177</v>
      </c>
      <c r="I253" s="2"/>
      <c r="J253" s="2"/>
      <c r="K253" s="2"/>
    </row>
    <row r="254" spans="1:11" ht="13" x14ac:dyDescent="0.6">
      <c r="A254" s="81">
        <f>HYPERLINK("https://bluetooth.atlassian.net/browse/ES-16187 ",16187)</f>
        <v>16187</v>
      </c>
      <c r="B254" s="74" t="s">
        <v>141</v>
      </c>
      <c r="C254" s="74" t="s">
        <v>496</v>
      </c>
      <c r="D254" s="74" t="s">
        <v>307</v>
      </c>
      <c r="E254" s="82" t="s">
        <v>1</v>
      </c>
      <c r="F254" s="91">
        <v>4</v>
      </c>
      <c r="G254" s="87">
        <f>HYPERLINK("https://bluetooth.atlassian.net/browse/ES-16083",16083)</f>
        <v>16083</v>
      </c>
      <c r="H254" s="78" t="s">
        <v>1178</v>
      </c>
      <c r="I254" s="2"/>
      <c r="J254" s="2"/>
      <c r="K254" s="2"/>
    </row>
    <row r="255" spans="1:11" ht="13" x14ac:dyDescent="0.6">
      <c r="A255" s="83">
        <f>HYPERLINK("https://bluetooth.atlassian.net/browse/ES-15313",15313)</f>
        <v>15313</v>
      </c>
      <c r="B255" s="76" t="s">
        <v>141</v>
      </c>
      <c r="C255" s="76" t="s">
        <v>264</v>
      </c>
      <c r="D255" s="76" t="s">
        <v>304</v>
      </c>
      <c r="E255" s="84" t="s">
        <v>2</v>
      </c>
      <c r="F255" s="76"/>
      <c r="G255" s="76"/>
      <c r="H255" s="77"/>
      <c r="I255" s="2"/>
      <c r="J255" s="2"/>
      <c r="K255" s="2"/>
    </row>
    <row r="256" spans="1:11" ht="13" x14ac:dyDescent="0.6">
      <c r="A256" s="81">
        <f>HYPERLINK("https://bluetooth.atlassian.net/browse/ES-15705",15705)</f>
        <v>15705</v>
      </c>
      <c r="B256" s="74" t="s">
        <v>141</v>
      </c>
      <c r="C256" s="74" t="s">
        <v>292</v>
      </c>
      <c r="D256" s="74" t="s">
        <v>304</v>
      </c>
      <c r="E256" s="82" t="s">
        <v>2</v>
      </c>
      <c r="F256" s="74"/>
      <c r="G256" s="74"/>
      <c r="H256" s="75"/>
      <c r="I256" s="2"/>
      <c r="J256" s="2"/>
      <c r="K256" s="2"/>
    </row>
    <row r="257" spans="1:11" ht="13" x14ac:dyDescent="0.6">
      <c r="A257" s="83">
        <f>HYPERLINK("https://bluetooth.atlassian.net/browse/ES-16493 ",16493)</f>
        <v>16493</v>
      </c>
      <c r="B257" s="76" t="s">
        <v>141</v>
      </c>
      <c r="C257" s="76" t="s">
        <v>510</v>
      </c>
      <c r="D257" s="76" t="s">
        <v>304</v>
      </c>
      <c r="E257" s="84" t="s">
        <v>2</v>
      </c>
      <c r="F257" s="76"/>
      <c r="G257" s="76"/>
      <c r="H257" s="77"/>
      <c r="I257" s="2"/>
      <c r="J257" s="2"/>
      <c r="K257" s="2"/>
    </row>
    <row r="258" spans="1:11" ht="13" x14ac:dyDescent="0.6">
      <c r="A258" s="81">
        <f>HYPERLINK("https://bluetooth.atlassian.net/browse/ES-16550 ",16550)</f>
        <v>16550</v>
      </c>
      <c r="B258" s="74" t="s">
        <v>141</v>
      </c>
      <c r="C258" s="74" t="s">
        <v>519</v>
      </c>
      <c r="D258" s="74" t="s">
        <v>304</v>
      </c>
      <c r="E258" s="82" t="s">
        <v>2</v>
      </c>
      <c r="F258" s="74"/>
      <c r="G258" s="74"/>
      <c r="H258" s="75"/>
      <c r="I258" s="2"/>
      <c r="J258" s="2"/>
      <c r="K258" s="2"/>
    </row>
    <row r="259" spans="1:11" ht="12.95" customHeight="1" x14ac:dyDescent="0.6">
      <c r="A259" s="83">
        <f>HYPERLINK("https://bluetooth.atlassian.net/browse/ES-15256",15256)</f>
        <v>15256</v>
      </c>
      <c r="B259" s="76" t="s">
        <v>141</v>
      </c>
      <c r="C259" s="76" t="s">
        <v>388</v>
      </c>
      <c r="D259" s="76" t="s">
        <v>305</v>
      </c>
      <c r="E259" s="84" t="s">
        <v>2</v>
      </c>
      <c r="F259" s="76"/>
      <c r="G259" s="76"/>
      <c r="H259" s="77"/>
      <c r="I259" s="2"/>
      <c r="J259" s="2"/>
      <c r="K259" s="2"/>
    </row>
    <row r="260" spans="1:11" ht="12.95" customHeight="1" x14ac:dyDescent="0.6">
      <c r="A260" s="81">
        <f>HYPERLINK("https://bluetooth.atlassian.net/browse/ES-15578",15578)</f>
        <v>15578</v>
      </c>
      <c r="B260" s="74" t="s">
        <v>141</v>
      </c>
      <c r="C260" s="74" t="s">
        <v>283</v>
      </c>
      <c r="D260" s="74" t="s">
        <v>307</v>
      </c>
      <c r="E260" s="82" t="s">
        <v>2</v>
      </c>
      <c r="F260" s="74"/>
      <c r="G260" s="74"/>
      <c r="H260" s="75"/>
      <c r="I260" s="2"/>
      <c r="J260" s="2"/>
      <c r="K260" s="2"/>
    </row>
    <row r="261" spans="1:11" ht="26" x14ac:dyDescent="0.6">
      <c r="A261" s="83">
        <f>HYPERLINK("https://bluetooth.atlassian.net/browse/ES-16549 ",16549)</f>
        <v>16549</v>
      </c>
      <c r="B261" s="76" t="s">
        <v>141</v>
      </c>
      <c r="C261" s="76" t="s">
        <v>518</v>
      </c>
      <c r="D261" s="76" t="s">
        <v>307</v>
      </c>
      <c r="E261" s="84" t="s">
        <v>2</v>
      </c>
      <c r="F261" s="76"/>
      <c r="G261" s="76"/>
      <c r="H261" s="77"/>
      <c r="I261" s="2"/>
      <c r="J261" s="2"/>
      <c r="K261" s="2"/>
    </row>
    <row r="262" spans="1:11" ht="12.95" customHeight="1" x14ac:dyDescent="0.6">
      <c r="A262" s="81">
        <f>HYPERLINK("https://bluetooth.atlassian.net/browse/ES-14749",14749)</f>
        <v>14749</v>
      </c>
      <c r="B262" s="74" t="s">
        <v>141</v>
      </c>
      <c r="C262" s="74" t="s">
        <v>428</v>
      </c>
      <c r="D262" s="74" t="s">
        <v>307</v>
      </c>
      <c r="E262" s="82" t="s">
        <v>2</v>
      </c>
      <c r="F262" s="74"/>
      <c r="G262" s="74"/>
      <c r="H262" s="75" t="s">
        <v>204</v>
      </c>
      <c r="I262" s="2"/>
      <c r="J262" s="2"/>
      <c r="K262" s="2"/>
    </row>
    <row r="263" spans="1:11" ht="12.95" customHeight="1" x14ac:dyDescent="0.6">
      <c r="A263" s="83">
        <f>HYPERLINK("https://bluetooth.atlassian.net/browse/ES-16681 ",16681)</f>
        <v>16681</v>
      </c>
      <c r="B263" s="76" t="s">
        <v>532</v>
      </c>
      <c r="C263" s="76" t="s">
        <v>531</v>
      </c>
      <c r="D263" s="76" t="s">
        <v>305</v>
      </c>
      <c r="E263" s="92" t="s">
        <v>2</v>
      </c>
      <c r="F263" s="76"/>
      <c r="G263" s="76"/>
      <c r="H263" s="77"/>
      <c r="I263" s="2"/>
      <c r="J263" s="2"/>
      <c r="K263" s="2"/>
    </row>
    <row r="264" spans="1:11" ht="12.95" customHeight="1" x14ac:dyDescent="0.6">
      <c r="A264" s="81">
        <f>HYPERLINK("https://bluetooth.atlassian.net/browse/ES-12345",12345)</f>
        <v>12345</v>
      </c>
      <c r="B264" s="74" t="s">
        <v>46</v>
      </c>
      <c r="C264" s="74" t="s">
        <v>47</v>
      </c>
      <c r="D264" s="74" t="s">
        <v>304</v>
      </c>
      <c r="E264" s="82" t="s">
        <v>2</v>
      </c>
      <c r="F264" s="74"/>
      <c r="G264" s="74"/>
      <c r="H264" s="75" t="s">
        <v>204</v>
      </c>
      <c r="I264" s="2"/>
      <c r="J264" s="2"/>
      <c r="K264" s="2"/>
    </row>
    <row r="265" spans="1:11" ht="12.95" customHeight="1" x14ac:dyDescent="0.6">
      <c r="A265" s="83">
        <f>HYPERLINK("https://bluetooth.atlassian.net/browse/ES-14721",14721)</f>
        <v>14721</v>
      </c>
      <c r="B265" s="76" t="s">
        <v>67</v>
      </c>
      <c r="C265" s="76" t="s">
        <v>432</v>
      </c>
      <c r="D265" s="76" t="s">
        <v>304</v>
      </c>
      <c r="E265" s="84" t="s">
        <v>2</v>
      </c>
      <c r="F265" s="76"/>
      <c r="G265" s="76"/>
      <c r="H265" s="77" t="s">
        <v>204</v>
      </c>
      <c r="I265" s="2"/>
      <c r="J265" s="2"/>
      <c r="K265" s="2"/>
    </row>
    <row r="266" spans="1:11" ht="12.95" customHeight="1" x14ac:dyDescent="0.6">
      <c r="A266" s="81">
        <f>HYPERLINK("https://bluetooth.atlassian.net/browse/ES-15691",15691)</f>
        <v>15691</v>
      </c>
      <c r="B266" s="74" t="s">
        <v>67</v>
      </c>
      <c r="C266" s="74" t="s">
        <v>291</v>
      </c>
      <c r="D266" s="74" t="s">
        <v>304</v>
      </c>
      <c r="E266" s="82" t="s">
        <v>2</v>
      </c>
      <c r="F266" s="74"/>
      <c r="G266" s="74"/>
      <c r="H266" s="75"/>
      <c r="I266" s="2"/>
      <c r="J266" s="2"/>
      <c r="K266" s="2"/>
    </row>
    <row r="267" spans="1:11" ht="12.95" customHeight="1" x14ac:dyDescent="0.6">
      <c r="A267" s="83">
        <f>HYPERLINK("https://bluetooth.atlassian.net/browse/ES-12922",12922)</f>
        <v>12922</v>
      </c>
      <c r="B267" s="76" t="s">
        <v>67</v>
      </c>
      <c r="C267" s="76" t="s">
        <v>475</v>
      </c>
      <c r="D267" s="76" t="s">
        <v>305</v>
      </c>
      <c r="E267" s="84" t="s">
        <v>2</v>
      </c>
      <c r="F267" s="76"/>
      <c r="G267" s="76"/>
      <c r="H267" s="77" t="s">
        <v>204</v>
      </c>
      <c r="I267" s="2"/>
      <c r="J267" s="2"/>
      <c r="K267" s="2"/>
    </row>
    <row r="268" spans="1:11" ht="12.95" customHeight="1" x14ac:dyDescent="0.6">
      <c r="A268" s="81">
        <f>HYPERLINK("https://bluetooth.atlassian.net/browse/ES-15401",15401)</f>
        <v>15401</v>
      </c>
      <c r="B268" s="74" t="s">
        <v>67</v>
      </c>
      <c r="C268" s="74" t="s">
        <v>269</v>
      </c>
      <c r="D268" s="74" t="s">
        <v>305</v>
      </c>
      <c r="E268" s="82" t="s">
        <v>2</v>
      </c>
      <c r="F268" s="74"/>
      <c r="G268" s="74"/>
      <c r="H268" s="75"/>
      <c r="I268" s="2"/>
      <c r="J268" s="2"/>
      <c r="K268" s="2"/>
    </row>
    <row r="269" spans="1:11" ht="12.95" customHeight="1" x14ac:dyDescent="0.6">
      <c r="A269" s="83">
        <f>HYPERLINK("https://bluetooth.atlassian.net/browse/ES-13254",13254)</f>
        <v>13254</v>
      </c>
      <c r="B269" s="76" t="s">
        <v>105</v>
      </c>
      <c r="C269" s="76" t="s">
        <v>106</v>
      </c>
      <c r="D269" s="76" t="s">
        <v>305</v>
      </c>
      <c r="E269" s="84" t="s">
        <v>2</v>
      </c>
      <c r="F269" s="76"/>
      <c r="G269" s="76"/>
      <c r="H269" s="77" t="s">
        <v>204</v>
      </c>
      <c r="I269" s="2"/>
      <c r="J269" s="2"/>
      <c r="K269" s="2"/>
    </row>
    <row r="270" spans="1:11" ht="12.95" customHeight="1" x14ac:dyDescent="0.6">
      <c r="A270" s="81">
        <f>HYPERLINK("https://bluetooth.atlassian.net/browse/ES-15065",15065)</f>
        <v>15065</v>
      </c>
      <c r="B270" s="74" t="s">
        <v>188</v>
      </c>
      <c r="C270" s="74" t="s">
        <v>399</v>
      </c>
      <c r="D270" s="74" t="s">
        <v>305</v>
      </c>
      <c r="E270" s="82" t="s">
        <v>2</v>
      </c>
      <c r="F270" s="74"/>
      <c r="G270" s="74"/>
      <c r="H270" s="75" t="s">
        <v>204</v>
      </c>
      <c r="I270" s="2"/>
      <c r="J270" s="2"/>
      <c r="K270" s="2"/>
    </row>
    <row r="271" spans="1:11" ht="12.95" customHeight="1" x14ac:dyDescent="0.6">
      <c r="A271" s="83">
        <f>HYPERLINK("https://bluetooth.atlassian.net/browse/ES-12197",12197)</f>
        <v>12197</v>
      </c>
      <c r="B271" s="76" t="s">
        <v>38</v>
      </c>
      <c r="C271" s="76" t="s">
        <v>465</v>
      </c>
      <c r="D271" s="76" t="s">
        <v>304</v>
      </c>
      <c r="E271" s="84" t="s">
        <v>2</v>
      </c>
      <c r="F271" s="76"/>
      <c r="G271" s="76"/>
      <c r="H271" s="77" t="s">
        <v>204</v>
      </c>
      <c r="I271" s="2"/>
      <c r="J271" s="2"/>
      <c r="K271" s="2"/>
    </row>
    <row r="272" spans="1:11" ht="13" x14ac:dyDescent="0.6">
      <c r="A272" s="81">
        <f>HYPERLINK("https://bluetooth.atlassian.net/browse/ES-12325",12325)</f>
        <v>12325</v>
      </c>
      <c r="B272" s="74" t="s">
        <v>41</v>
      </c>
      <c r="C272" s="74" t="s">
        <v>45</v>
      </c>
      <c r="D272" s="74" t="s">
        <v>304</v>
      </c>
      <c r="E272" s="82" t="s">
        <v>1</v>
      </c>
      <c r="F272" s="74">
        <v>1</v>
      </c>
      <c r="G272" s="87">
        <f>HYPERLINK("https://bluetooth.atlassian.net/browse/ES-12334",12334)</f>
        <v>12334</v>
      </c>
      <c r="H272" s="78" t="s">
        <v>1179</v>
      </c>
      <c r="I272" s="2"/>
      <c r="J272" s="2"/>
      <c r="K272" s="2"/>
    </row>
    <row r="273" spans="1:11" ht="13" x14ac:dyDescent="0.6">
      <c r="A273" s="83">
        <f>HYPERLINK("https://bluetooth.atlassian.net/browse/ES-13029",13029)</f>
        <v>13029</v>
      </c>
      <c r="B273" s="76" t="s">
        <v>41</v>
      </c>
      <c r="C273" s="76" t="s">
        <v>478</v>
      </c>
      <c r="D273" s="76" t="s">
        <v>305</v>
      </c>
      <c r="E273" s="84" t="s">
        <v>1</v>
      </c>
      <c r="F273" s="76">
        <v>4</v>
      </c>
      <c r="G273" s="88">
        <f>HYPERLINK("https://bluetooth.atlassian.net/browse/ES-15624",15624)</f>
        <v>15624</v>
      </c>
      <c r="H273" s="80" t="s">
        <v>1180</v>
      </c>
      <c r="I273" s="2"/>
      <c r="J273" s="2"/>
      <c r="K273" s="2"/>
    </row>
    <row r="274" spans="1:11" ht="13" x14ac:dyDescent="0.6">
      <c r="A274" s="81">
        <f>HYPERLINK("https://bluetooth.atlassian.net/browse/ES-12251",12251)</f>
        <v>12251</v>
      </c>
      <c r="B274" s="74" t="s">
        <v>41</v>
      </c>
      <c r="C274" s="74" t="s">
        <v>466</v>
      </c>
      <c r="D274" s="74" t="s">
        <v>304</v>
      </c>
      <c r="E274" s="82" t="s">
        <v>2</v>
      </c>
      <c r="F274" s="74"/>
      <c r="G274" s="74"/>
      <c r="H274" s="75" t="s">
        <v>204</v>
      </c>
      <c r="I274" s="2"/>
      <c r="J274" s="2"/>
      <c r="K274" s="2"/>
    </row>
    <row r="275" spans="1:11" ht="13" x14ac:dyDescent="0.6">
      <c r="A275" s="83">
        <f>HYPERLINK("https://bluetooth.atlassian.net/browse/ES-12252",12252)</f>
        <v>12252</v>
      </c>
      <c r="B275" s="76" t="s">
        <v>41</v>
      </c>
      <c r="C275" s="76" t="s">
        <v>6</v>
      </c>
      <c r="D275" s="76" t="s">
        <v>304</v>
      </c>
      <c r="E275" s="84" t="s">
        <v>2</v>
      </c>
      <c r="F275" s="76"/>
      <c r="G275" s="76"/>
      <c r="H275" s="77" t="s">
        <v>204</v>
      </c>
      <c r="I275" s="2"/>
      <c r="J275" s="2"/>
      <c r="K275" s="2"/>
    </row>
    <row r="276" spans="1:11" ht="13" x14ac:dyDescent="0.6">
      <c r="A276" s="81">
        <f>HYPERLINK("https://bluetooth.atlassian.net/browse/ES-12102",12102)</f>
        <v>12102</v>
      </c>
      <c r="B276" s="74" t="s">
        <v>35</v>
      </c>
      <c r="C276" s="74" t="s">
        <v>464</v>
      </c>
      <c r="D276" s="74" t="s">
        <v>305</v>
      </c>
      <c r="E276" s="82" t="s">
        <v>2</v>
      </c>
      <c r="F276" s="74"/>
      <c r="G276" s="74"/>
      <c r="H276" s="75" t="s">
        <v>204</v>
      </c>
      <c r="I276" s="2"/>
      <c r="J276" s="2"/>
      <c r="K276" s="2"/>
    </row>
    <row r="277" spans="1:11" ht="25.5" customHeight="1" x14ac:dyDescent="0.6">
      <c r="A277" s="83">
        <f>HYPERLINK("https://bluetooth.atlassian.net/browse/ES-12802",12802)</f>
        <v>12802</v>
      </c>
      <c r="B277" s="76" t="s">
        <v>41</v>
      </c>
      <c r="C277" s="76" t="s">
        <v>471</v>
      </c>
      <c r="D277" s="76" t="s">
        <v>305</v>
      </c>
      <c r="E277" s="84" t="s">
        <v>2</v>
      </c>
      <c r="F277" s="76"/>
      <c r="G277" s="76"/>
      <c r="H277" s="77" t="s">
        <v>204</v>
      </c>
      <c r="I277" s="2"/>
      <c r="J277" s="2"/>
      <c r="K277" s="2"/>
    </row>
    <row r="278" spans="1:11" ht="13" x14ac:dyDescent="0.6">
      <c r="A278" s="81">
        <f>HYPERLINK("https://bluetooth.atlassian.net/browse/ES-12955",12955)</f>
        <v>12955</v>
      </c>
      <c r="B278" s="74" t="s">
        <v>41</v>
      </c>
      <c r="C278" s="74" t="s">
        <v>476</v>
      </c>
      <c r="D278" s="74" t="s">
        <v>305</v>
      </c>
      <c r="E278" s="82" t="s">
        <v>2</v>
      </c>
      <c r="F278" s="74"/>
      <c r="G278" s="74"/>
      <c r="H278" s="75" t="s">
        <v>204</v>
      </c>
      <c r="I278" s="2"/>
      <c r="J278" s="2"/>
      <c r="K278" s="2"/>
    </row>
    <row r="279" spans="1:11" ht="13" x14ac:dyDescent="0.6">
      <c r="A279" s="83">
        <f>HYPERLINK("https://bluetooth.atlassian.net/browse/ES-13089",13089)</f>
        <v>13089</v>
      </c>
      <c r="B279" s="76" t="s">
        <v>41</v>
      </c>
      <c r="C279" s="76" t="s">
        <v>481</v>
      </c>
      <c r="D279" s="76" t="s">
        <v>305</v>
      </c>
      <c r="E279" s="84" t="s">
        <v>2</v>
      </c>
      <c r="F279" s="76"/>
      <c r="G279" s="76"/>
      <c r="H279" s="77" t="s">
        <v>204</v>
      </c>
      <c r="I279" s="2"/>
      <c r="J279" s="2"/>
      <c r="K279" s="2"/>
    </row>
    <row r="280" spans="1:11" ht="13" x14ac:dyDescent="0.6">
      <c r="A280" s="81">
        <f>HYPERLINK("https://bluetooth.atlassian.net/browse/ES-15497",15497)</f>
        <v>15497</v>
      </c>
      <c r="B280" s="74" t="s">
        <v>108</v>
      </c>
      <c r="C280" s="74" t="s">
        <v>373</v>
      </c>
      <c r="D280" s="74" t="s">
        <v>305</v>
      </c>
      <c r="E280" s="82" t="s">
        <v>1</v>
      </c>
      <c r="F280" s="74">
        <v>1</v>
      </c>
      <c r="G280" s="87">
        <f>HYPERLINK("https://bluetooth.atlassian.net/browse/ES-15606",15606)</f>
        <v>15606</v>
      </c>
      <c r="H280" s="78" t="s">
        <v>1181</v>
      </c>
      <c r="I280" s="2"/>
      <c r="J280" s="2"/>
      <c r="K280" s="2"/>
    </row>
    <row r="281" spans="1:11" ht="13" x14ac:dyDescent="0.6">
      <c r="A281" s="83">
        <f>HYPERLINK("https://bluetooth.atlassian.net/browse/ES-14851",14851)</f>
        <v>14851</v>
      </c>
      <c r="B281" s="76" t="s">
        <v>108</v>
      </c>
      <c r="C281" s="76" t="s">
        <v>419</v>
      </c>
      <c r="D281" s="76" t="s">
        <v>305</v>
      </c>
      <c r="E281" s="84" t="s">
        <v>1</v>
      </c>
      <c r="F281" s="76">
        <v>2</v>
      </c>
      <c r="G281" s="88">
        <f>HYPERLINK("https://bluetooth.atlassian.net/browse/ES-14876",14876)</f>
        <v>14876</v>
      </c>
      <c r="H281" s="79" t="s">
        <v>1182</v>
      </c>
      <c r="I281" s="2"/>
      <c r="J281" s="2"/>
      <c r="K281" s="2"/>
    </row>
    <row r="282" spans="1:11" ht="13" x14ac:dyDescent="0.6">
      <c r="A282" s="81">
        <f>HYPERLINK("https://bluetooth.atlassian.net/browse/ES-14855",14855)</f>
        <v>14855</v>
      </c>
      <c r="B282" s="74" t="s">
        <v>108</v>
      </c>
      <c r="C282" s="74" t="s">
        <v>165</v>
      </c>
      <c r="D282" s="74" t="s">
        <v>307</v>
      </c>
      <c r="E282" s="82" t="s">
        <v>1</v>
      </c>
      <c r="F282" s="74">
        <v>2</v>
      </c>
      <c r="G282" s="87">
        <f>HYPERLINK("https://bluetooth.atlassian.net/browse/ES-14853",14853)</f>
        <v>14853</v>
      </c>
      <c r="H282" s="78" t="s">
        <v>1183</v>
      </c>
      <c r="I282" s="2"/>
      <c r="J282" s="2"/>
      <c r="K282" s="2"/>
    </row>
    <row r="283" spans="1:11" ht="13" x14ac:dyDescent="0.6">
      <c r="A283" s="83">
        <f>HYPERLINK("https://bluetooth.atlassian.net/browse/ES-14909",14909)</f>
        <v>14909</v>
      </c>
      <c r="B283" s="76" t="s">
        <v>108</v>
      </c>
      <c r="C283" s="76" t="s">
        <v>415</v>
      </c>
      <c r="D283" s="76" t="s">
        <v>307</v>
      </c>
      <c r="E283" s="84" t="s">
        <v>1</v>
      </c>
      <c r="F283" s="76">
        <v>2</v>
      </c>
      <c r="G283" s="88">
        <f>HYPERLINK("https://bluetooth.atlassian.net/browse/ES-15619",15619)</f>
        <v>15619</v>
      </c>
      <c r="H283" s="80" t="s">
        <v>1184</v>
      </c>
      <c r="I283" s="2"/>
      <c r="J283" s="2"/>
      <c r="K283" s="2"/>
    </row>
    <row r="284" spans="1:11" ht="13" x14ac:dyDescent="0.6">
      <c r="A284" s="81">
        <f>HYPERLINK("https://bluetooth.atlassian.net/browse/ES-15010",15010)</f>
        <v>15010</v>
      </c>
      <c r="B284" s="74" t="s">
        <v>108</v>
      </c>
      <c r="C284" s="74" t="s">
        <v>180</v>
      </c>
      <c r="D284" s="74" t="s">
        <v>307</v>
      </c>
      <c r="E284" s="82" t="s">
        <v>1</v>
      </c>
      <c r="F284" s="74">
        <v>2</v>
      </c>
      <c r="G284" s="87">
        <f>HYPERLINK("https://bluetooth.atlassian.net/browse/ES-15045",15045)</f>
        <v>15045</v>
      </c>
      <c r="H284" s="78" t="s">
        <v>1185</v>
      </c>
      <c r="I284" s="2"/>
      <c r="J284" s="2"/>
      <c r="K284" s="2"/>
    </row>
    <row r="285" spans="1:11" ht="13" x14ac:dyDescent="0.6">
      <c r="A285" s="83">
        <f>HYPERLINK("https://bluetooth.atlassian.net/browse/ES-15223",15223)</f>
        <v>15223</v>
      </c>
      <c r="B285" s="76" t="s">
        <v>108</v>
      </c>
      <c r="C285" s="76" t="s">
        <v>261</v>
      </c>
      <c r="D285" s="76" t="s">
        <v>304</v>
      </c>
      <c r="E285" s="84" t="s">
        <v>1</v>
      </c>
      <c r="F285" s="76">
        <v>3</v>
      </c>
      <c r="G285" s="88">
        <f>HYPERLINK("https://bluetooth.atlassian.net/browse/ES-15955",15955)</f>
        <v>15955</v>
      </c>
      <c r="H285" s="79" t="s">
        <v>1186</v>
      </c>
      <c r="I285" s="2"/>
      <c r="J285" s="2"/>
      <c r="K285" s="2"/>
    </row>
    <row r="286" spans="1:11" ht="13" x14ac:dyDescent="0.6">
      <c r="A286" s="81">
        <f>HYPERLINK("https://bluetooth.atlassian.net/browse/ES-15027",15027)</f>
        <v>15027</v>
      </c>
      <c r="B286" s="74" t="s">
        <v>108</v>
      </c>
      <c r="C286" s="74" t="s">
        <v>61</v>
      </c>
      <c r="D286" s="74" t="s">
        <v>304</v>
      </c>
      <c r="E286" s="82" t="s">
        <v>1</v>
      </c>
      <c r="F286" s="74">
        <v>4</v>
      </c>
      <c r="G286" s="87">
        <f>HYPERLINK("https://bluetooth.atlassian.net/browse/ES-15627",15627)</f>
        <v>15627</v>
      </c>
      <c r="H286" s="78" t="s">
        <v>1187</v>
      </c>
      <c r="I286" s="2"/>
      <c r="J286" s="2"/>
      <c r="K286" s="2"/>
    </row>
    <row r="287" spans="1:11" ht="13" x14ac:dyDescent="0.6">
      <c r="A287" s="83">
        <f>HYPERLINK("https://bluetooth.atlassian.net/browse/ES-14680",14680)</f>
        <v>14680</v>
      </c>
      <c r="B287" s="76" t="s">
        <v>108</v>
      </c>
      <c r="C287" s="76" t="s">
        <v>146</v>
      </c>
      <c r="D287" s="76" t="s">
        <v>305</v>
      </c>
      <c r="E287" s="84" t="s">
        <v>1</v>
      </c>
      <c r="F287" s="76">
        <v>4</v>
      </c>
      <c r="G287" s="88">
        <f>HYPERLINK("https://bluetooth.atlassian.net/browse/ES-15604",15604)</f>
        <v>15604</v>
      </c>
      <c r="H287" s="80" t="s">
        <v>1188</v>
      </c>
      <c r="I287" s="2"/>
      <c r="J287" s="2"/>
      <c r="K287" s="2"/>
    </row>
    <row r="288" spans="1:11" ht="13" x14ac:dyDescent="0.6">
      <c r="A288" s="81">
        <f>HYPERLINK("https://bluetooth.atlassian.net/browse/ES-14681",14681)</f>
        <v>14681</v>
      </c>
      <c r="B288" s="74" t="s">
        <v>108</v>
      </c>
      <c r="C288" s="74" t="s">
        <v>147</v>
      </c>
      <c r="D288" s="74" t="s">
        <v>305</v>
      </c>
      <c r="E288" s="82" t="s">
        <v>1</v>
      </c>
      <c r="F288" s="74">
        <v>4</v>
      </c>
      <c r="G288" s="87">
        <f>HYPERLINK("https://bluetooth.atlassian.net/browse/ES-15604",15604)</f>
        <v>15604</v>
      </c>
      <c r="H288" s="78" t="s">
        <v>1188</v>
      </c>
      <c r="I288" s="2"/>
      <c r="J288" s="2"/>
      <c r="K288" s="2"/>
    </row>
    <row r="289" spans="1:11" ht="13" x14ac:dyDescent="0.6">
      <c r="A289" s="83">
        <f>HYPERLINK("https://bluetooth.atlassian.net/browse/ES-14746",14746)</f>
        <v>14746</v>
      </c>
      <c r="B289" s="76" t="s">
        <v>108</v>
      </c>
      <c r="C289" s="76" t="s">
        <v>430</v>
      </c>
      <c r="D289" s="76" t="s">
        <v>305</v>
      </c>
      <c r="E289" s="84" t="s">
        <v>1</v>
      </c>
      <c r="F289" s="76">
        <v>4</v>
      </c>
      <c r="G289" s="88">
        <f>HYPERLINK("https://bluetooth.atlassian.net/browse/ES-14783",14783)</f>
        <v>14783</v>
      </c>
      <c r="H289" s="79" t="s">
        <v>1189</v>
      </c>
      <c r="I289" s="2"/>
      <c r="J289" s="2"/>
      <c r="K289" s="2"/>
    </row>
    <row r="290" spans="1:11" ht="13" x14ac:dyDescent="0.6">
      <c r="A290" s="178">
        <f>HYPERLINK("https://bluetooth.atlassian.net/browse/ES-14770",14770)</f>
        <v>14770</v>
      </c>
      <c r="B290" s="176" t="s">
        <v>108</v>
      </c>
      <c r="C290" s="176" t="s">
        <v>157</v>
      </c>
      <c r="D290" s="176" t="s">
        <v>305</v>
      </c>
      <c r="E290" s="177" t="s">
        <v>1</v>
      </c>
      <c r="F290" s="176" t="s">
        <v>630</v>
      </c>
      <c r="G290" s="85" t="str">
        <f>HYPERLINK("https://bluetooth.atlassian.net/browse/ES-15148","15148,")</f>
        <v>15148,</v>
      </c>
      <c r="H290" s="174" t="s">
        <v>1190</v>
      </c>
      <c r="I290" s="2"/>
      <c r="J290" s="2"/>
      <c r="K290" s="2"/>
    </row>
    <row r="291" spans="1:11" ht="13" x14ac:dyDescent="0.6">
      <c r="A291" s="172"/>
      <c r="B291" s="170"/>
      <c r="C291" s="170"/>
      <c r="D291" s="170"/>
      <c r="E291" s="172"/>
      <c r="F291" s="170"/>
      <c r="G291" s="85">
        <f>HYPERLINK("https://bluetooth.atlassian.net/browse/ES-15149",15149)</f>
        <v>15149</v>
      </c>
      <c r="H291" s="175"/>
      <c r="I291" s="2"/>
      <c r="J291" s="2"/>
      <c r="K291" s="2"/>
    </row>
    <row r="292" spans="1:11" ht="13" x14ac:dyDescent="0.6">
      <c r="A292" s="83">
        <f>HYPERLINK("https://bluetooth.atlassian.net/browse/ES-15839",15839)</f>
        <v>15839</v>
      </c>
      <c r="B292" s="76" t="s">
        <v>108</v>
      </c>
      <c r="C292" s="76" t="s">
        <v>309</v>
      </c>
      <c r="D292" s="76" t="s">
        <v>305</v>
      </c>
      <c r="E292" s="84" t="s">
        <v>1</v>
      </c>
      <c r="F292" s="76">
        <v>4</v>
      </c>
      <c r="G292" s="88">
        <f>HYPERLINK("https://bluetooth.atlassian.net/browse/ES-16020",16020)</f>
        <v>16020</v>
      </c>
      <c r="H292" s="80" t="s">
        <v>1191</v>
      </c>
      <c r="I292" s="2"/>
      <c r="J292" s="2"/>
      <c r="K292" s="2"/>
    </row>
    <row r="293" spans="1:11" ht="13" x14ac:dyDescent="0.6">
      <c r="A293" s="81">
        <f>HYPERLINK("https://bluetooth.atlassian.net/browse/ES-16381 ",16381)</f>
        <v>16381</v>
      </c>
      <c r="B293" s="74" t="s">
        <v>108</v>
      </c>
      <c r="C293" s="74" t="s">
        <v>503</v>
      </c>
      <c r="D293" s="74" t="s">
        <v>305</v>
      </c>
      <c r="E293" s="82" t="s">
        <v>1</v>
      </c>
      <c r="F293" s="74">
        <v>4</v>
      </c>
      <c r="G293" s="87">
        <f>HYPERLINK("https://bluetooth.atlassian.net/browse/ES-14701",14701)</f>
        <v>14701</v>
      </c>
      <c r="H293" s="78" t="s">
        <v>1192</v>
      </c>
      <c r="I293" s="2"/>
      <c r="J293" s="2"/>
      <c r="K293" s="2"/>
    </row>
    <row r="294" spans="1:11" ht="13" x14ac:dyDescent="0.6">
      <c r="A294" s="83">
        <f>HYPERLINK("https://bluetooth.atlassian.net/browse/ES-13374",13374)</f>
        <v>13374</v>
      </c>
      <c r="B294" s="76" t="s">
        <v>108</v>
      </c>
      <c r="C294" s="76" t="s">
        <v>454</v>
      </c>
      <c r="D294" s="76" t="s">
        <v>307</v>
      </c>
      <c r="E294" s="84" t="s">
        <v>1</v>
      </c>
      <c r="F294" s="76">
        <v>4</v>
      </c>
      <c r="G294" s="88">
        <f>HYPERLINK("https://bluetooth.atlassian.net/browse/ES-14701",14701)</f>
        <v>14701</v>
      </c>
      <c r="H294" s="80" t="s">
        <v>1192</v>
      </c>
      <c r="I294" s="2"/>
      <c r="J294" s="2"/>
      <c r="K294" s="2"/>
    </row>
    <row r="295" spans="1:11" ht="13" x14ac:dyDescent="0.6">
      <c r="A295" s="81">
        <f>HYPERLINK("https://bluetooth.atlassian.net/browse/ES-14665",14665)</f>
        <v>14665</v>
      </c>
      <c r="B295" s="74" t="s">
        <v>108</v>
      </c>
      <c r="C295" s="74" t="s">
        <v>143</v>
      </c>
      <c r="D295" s="74" t="s">
        <v>307</v>
      </c>
      <c r="E295" s="82" t="s">
        <v>1</v>
      </c>
      <c r="F295" s="74">
        <v>4</v>
      </c>
      <c r="G295" s="87">
        <f>HYPERLINK("https://bluetooth.atlassian.net/browse/ES-12919",12919)</f>
        <v>12919</v>
      </c>
      <c r="H295" s="78" t="s">
        <v>1193</v>
      </c>
      <c r="I295" s="2"/>
      <c r="J295" s="2"/>
      <c r="K295" s="2"/>
    </row>
    <row r="296" spans="1:11" ht="13" x14ac:dyDescent="0.6">
      <c r="A296" s="83">
        <f>HYPERLINK("https://bluetooth.atlassian.net/browse/ES-14897",14897)</f>
        <v>14897</v>
      </c>
      <c r="B296" s="76" t="s">
        <v>108</v>
      </c>
      <c r="C296" s="76" t="s">
        <v>416</v>
      </c>
      <c r="D296" s="76" t="s">
        <v>307</v>
      </c>
      <c r="E296" s="84" t="s">
        <v>1</v>
      </c>
      <c r="F296" s="76">
        <v>4</v>
      </c>
      <c r="G296" s="88">
        <f>HYPERLINK("https://bluetooth.atlassian.net/browse/ES-15054",15054)</f>
        <v>15054</v>
      </c>
      <c r="H296" s="79" t="s">
        <v>1194</v>
      </c>
      <c r="I296" s="2"/>
      <c r="J296" s="2"/>
      <c r="K296" s="2"/>
    </row>
    <row r="297" spans="1:11" ht="13" x14ac:dyDescent="0.6">
      <c r="A297" s="81">
        <f>HYPERLINK("https://bluetooth.atlassian.net/browse/ES-15300",15300)</f>
        <v>15300</v>
      </c>
      <c r="B297" s="74" t="s">
        <v>108</v>
      </c>
      <c r="C297" s="74" t="s">
        <v>385</v>
      </c>
      <c r="D297" s="74" t="s">
        <v>307</v>
      </c>
      <c r="E297" s="82" t="s">
        <v>1</v>
      </c>
      <c r="F297" s="74">
        <v>4</v>
      </c>
      <c r="G297" s="87">
        <f>HYPERLINK("https://bluetooth.atlassian.net/browse/ES-15916",15916)</f>
        <v>15916</v>
      </c>
      <c r="H297" s="78" t="s">
        <v>1195</v>
      </c>
      <c r="I297" s="2"/>
      <c r="J297" s="2"/>
      <c r="K297" s="2"/>
    </row>
    <row r="298" spans="1:11" ht="13" x14ac:dyDescent="0.6">
      <c r="A298" s="83">
        <f>HYPERLINK("https://bluetooth.atlassian.net/browse/ES-15429",15429)</f>
        <v>15429</v>
      </c>
      <c r="B298" s="76" t="s">
        <v>108</v>
      </c>
      <c r="C298" s="76" t="s">
        <v>271</v>
      </c>
      <c r="D298" s="76" t="s">
        <v>307</v>
      </c>
      <c r="E298" s="84" t="s">
        <v>1</v>
      </c>
      <c r="F298" s="76">
        <v>4</v>
      </c>
      <c r="G298" s="88">
        <f>HYPERLINK("https://bluetooth.atlassian.net/browse/ES-15920",15920)</f>
        <v>15920</v>
      </c>
      <c r="H298" s="80" t="s">
        <v>1196</v>
      </c>
      <c r="I298" s="2"/>
      <c r="J298" s="2"/>
      <c r="K298" s="2"/>
    </row>
    <row r="299" spans="1:11" ht="12.95" customHeight="1" x14ac:dyDescent="0.6">
      <c r="A299" s="81">
        <f>HYPERLINK("https://bluetooth.atlassian.net/browse/ES-16114",16114)</f>
        <v>16114</v>
      </c>
      <c r="B299" s="74" t="s">
        <v>108</v>
      </c>
      <c r="C299" s="74" t="s">
        <v>349</v>
      </c>
      <c r="D299" s="74" t="s">
        <v>307</v>
      </c>
      <c r="E299" s="82" t="s">
        <v>1</v>
      </c>
      <c r="F299" s="74">
        <v>4</v>
      </c>
      <c r="G299" s="87">
        <f>HYPERLINK("https://bluetooth.atlassian.net/browse/ES-16184",16184)</f>
        <v>16184</v>
      </c>
      <c r="H299" s="78" t="s">
        <v>1197</v>
      </c>
      <c r="I299" s="2"/>
      <c r="J299" s="2"/>
      <c r="K299" s="2"/>
    </row>
    <row r="300" spans="1:11" ht="26" x14ac:dyDescent="0.6">
      <c r="A300" s="83">
        <f>HYPERLINK("https://bluetooth.atlassian.net/browse/ES-16554 ",16554)</f>
        <v>16554</v>
      </c>
      <c r="B300" s="76" t="s">
        <v>108</v>
      </c>
      <c r="C300" s="76" t="s">
        <v>521</v>
      </c>
      <c r="D300" s="76" t="s">
        <v>307</v>
      </c>
      <c r="E300" s="84" t="s">
        <v>1</v>
      </c>
      <c r="F300" s="76">
        <v>4</v>
      </c>
      <c r="G300" s="88">
        <f>HYPERLINK("https://bluetooth.atlassian.net/browse/ES-16184",16184)</f>
        <v>16184</v>
      </c>
      <c r="H300" s="80" t="s">
        <v>1197</v>
      </c>
      <c r="I300" s="2"/>
      <c r="J300" s="2"/>
      <c r="K300" s="2"/>
    </row>
    <row r="301" spans="1:11" ht="12.95" customHeight="1" x14ac:dyDescent="0.6">
      <c r="A301" s="81">
        <f>HYPERLINK("https://bluetooth.atlassian.net/browse/ES-14777",14777)</f>
        <v>14777</v>
      </c>
      <c r="B301" s="74" t="s">
        <v>108</v>
      </c>
      <c r="C301" s="74" t="s">
        <v>424</v>
      </c>
      <c r="D301" s="74" t="s">
        <v>307</v>
      </c>
      <c r="E301" s="82" t="s">
        <v>1</v>
      </c>
      <c r="F301" s="74">
        <v>4</v>
      </c>
      <c r="G301" s="87">
        <f>HYPERLINK("https://bluetooth.atlassian.net/browse/ES-15276",15276)</f>
        <v>15276</v>
      </c>
      <c r="H301" s="78" t="s">
        <v>1198</v>
      </c>
      <c r="I301" s="2"/>
      <c r="J301" s="2"/>
      <c r="K301" s="2"/>
    </row>
    <row r="302" spans="1:11" ht="13" x14ac:dyDescent="0.6">
      <c r="A302" s="83">
        <f>HYPERLINK("https://bluetooth.atlassian.net/browse/ES-14958",14958)</f>
        <v>14958</v>
      </c>
      <c r="B302" s="76" t="s">
        <v>108</v>
      </c>
      <c r="C302" s="76" t="s">
        <v>412</v>
      </c>
      <c r="D302" s="76" t="s">
        <v>307</v>
      </c>
      <c r="E302" s="84" t="s">
        <v>1</v>
      </c>
      <c r="F302" s="76">
        <v>4</v>
      </c>
      <c r="G302" s="88">
        <f>HYPERLINK("https://bluetooth.atlassian.net/browse/ES-15149",15149)</f>
        <v>15149</v>
      </c>
      <c r="H302" s="79" t="s">
        <v>1199</v>
      </c>
      <c r="I302" s="2"/>
      <c r="J302" s="2"/>
      <c r="K302" s="2"/>
    </row>
    <row r="303" spans="1:11" ht="26" x14ac:dyDescent="0.6">
      <c r="A303" s="81">
        <f>HYPERLINK("https://bluetooth.atlassian.net/browse/ES-15062",15062)</f>
        <v>15062</v>
      </c>
      <c r="B303" s="74" t="s">
        <v>108</v>
      </c>
      <c r="C303" s="74" t="s">
        <v>401</v>
      </c>
      <c r="D303" s="74" t="s">
        <v>307</v>
      </c>
      <c r="E303" s="82" t="s">
        <v>1</v>
      </c>
      <c r="F303" s="74">
        <v>4</v>
      </c>
      <c r="G303" s="87">
        <f>HYPERLINK("https://bluetooth.atlassian.net/browse/ES-15164",15164)</f>
        <v>15164</v>
      </c>
      <c r="H303" s="78" t="s">
        <v>1200</v>
      </c>
      <c r="I303" s="2"/>
      <c r="J303" s="2"/>
      <c r="K303" s="2"/>
    </row>
    <row r="304" spans="1:11" ht="13" x14ac:dyDescent="0.6">
      <c r="A304" s="83">
        <f>HYPERLINK("https://bluetooth.atlassian.net/browse/ES-15288",15288)</f>
        <v>15288</v>
      </c>
      <c r="B304" s="76" t="s">
        <v>108</v>
      </c>
      <c r="C304" s="76" t="s">
        <v>386</v>
      </c>
      <c r="D304" s="76" t="s">
        <v>307</v>
      </c>
      <c r="E304" s="84" t="s">
        <v>1</v>
      </c>
      <c r="F304" s="76">
        <v>4</v>
      </c>
      <c r="G304" s="88">
        <f>HYPERLINK("https://bluetooth.atlassian.net/browse/ES-15149",15149)</f>
        <v>15149</v>
      </c>
      <c r="H304" s="80" t="s">
        <v>1199</v>
      </c>
      <c r="I304" s="2"/>
      <c r="J304" s="2"/>
      <c r="K304" s="2"/>
    </row>
    <row r="305" spans="1:11" ht="26" x14ac:dyDescent="0.6">
      <c r="A305" s="81">
        <f>HYPERLINK("https://bluetooth.atlassian.net/browse/ES-15317",15317)</f>
        <v>15317</v>
      </c>
      <c r="B305" s="74" t="s">
        <v>108</v>
      </c>
      <c r="C305" s="74" t="s">
        <v>383</v>
      </c>
      <c r="D305" s="74" t="s">
        <v>307</v>
      </c>
      <c r="E305" s="82" t="s">
        <v>1</v>
      </c>
      <c r="F305" s="74">
        <v>4</v>
      </c>
      <c r="G305" s="87">
        <f>HYPERLINK("https://bluetooth.atlassian.net/browse/ES-15386",15386)</f>
        <v>15386</v>
      </c>
      <c r="H305" s="78" t="s">
        <v>1201</v>
      </c>
      <c r="I305" s="2"/>
      <c r="J305" s="2"/>
      <c r="K305" s="2"/>
    </row>
    <row r="306" spans="1:11" ht="13" x14ac:dyDescent="0.6">
      <c r="A306" s="83">
        <f>HYPERLINK("https://bluetooth.atlassian.net/browse/ES-16372 ",16372)</f>
        <v>16372</v>
      </c>
      <c r="B306" s="76" t="s">
        <v>108</v>
      </c>
      <c r="C306" s="76" t="s">
        <v>502</v>
      </c>
      <c r="D306" s="76" t="s">
        <v>307</v>
      </c>
      <c r="E306" s="84" t="s">
        <v>1</v>
      </c>
      <c r="F306" s="76">
        <v>4</v>
      </c>
      <c r="G306" s="89">
        <f>HYPERLINK("https://bluetooth.atlassian.net/browse/ES-16485",16485)</f>
        <v>16485</v>
      </c>
      <c r="H306" s="80" t="s">
        <v>1202</v>
      </c>
      <c r="I306" s="2"/>
      <c r="J306" s="2"/>
      <c r="K306" s="2"/>
    </row>
    <row r="307" spans="1:11" ht="13" x14ac:dyDescent="0.6">
      <c r="A307" s="81">
        <f>HYPERLINK("https://bluetooth.atlassian.net/browse/ES-13526",13526)</f>
        <v>13526</v>
      </c>
      <c r="B307" s="74" t="s">
        <v>108</v>
      </c>
      <c r="C307" s="74" t="s">
        <v>132</v>
      </c>
      <c r="D307" s="74" t="s">
        <v>307</v>
      </c>
      <c r="E307" s="82" t="s">
        <v>1</v>
      </c>
      <c r="F307" s="74">
        <v>4</v>
      </c>
      <c r="G307" s="85">
        <f>HYPERLINK("https://bluetooth.atlassian.net/browse/ES-14658",14658)</f>
        <v>14658</v>
      </c>
      <c r="H307" s="78" t="s">
        <v>1203</v>
      </c>
      <c r="I307" s="2"/>
      <c r="J307" s="2"/>
      <c r="K307" s="2"/>
    </row>
    <row r="308" spans="1:11" ht="13" x14ac:dyDescent="0.6">
      <c r="A308" s="173">
        <f>HYPERLINK("https://bluetooth.atlassian.net/browse/ES-15070",15070)</f>
        <v>15070</v>
      </c>
      <c r="B308" s="169" t="s">
        <v>108</v>
      </c>
      <c r="C308" s="169" t="s">
        <v>398</v>
      </c>
      <c r="D308" s="169" t="s">
        <v>307</v>
      </c>
      <c r="E308" s="171" t="s">
        <v>1</v>
      </c>
      <c r="F308" s="169" t="s">
        <v>302</v>
      </c>
      <c r="G308" s="89" t="str">
        <f>HYPERLINK("https://bluetooth.atlassian.net/browse/ES-14876","14876,")</f>
        <v>14876,</v>
      </c>
      <c r="H308" s="179" t="s">
        <v>1204</v>
      </c>
      <c r="I308" s="2"/>
      <c r="J308" s="2"/>
      <c r="K308" s="2"/>
    </row>
    <row r="309" spans="1:11" ht="13" x14ac:dyDescent="0.6">
      <c r="A309" s="172"/>
      <c r="B309" s="170"/>
      <c r="C309" s="170"/>
      <c r="D309" s="170"/>
      <c r="E309" s="172"/>
      <c r="F309" s="170"/>
      <c r="G309" s="89">
        <f>HYPERLINK("https://bluetooth.atlassian.net/browse/ES-15596",15596)</f>
        <v>15596</v>
      </c>
      <c r="H309" s="175"/>
      <c r="I309" s="2"/>
      <c r="J309" s="2"/>
      <c r="K309" s="2"/>
    </row>
    <row r="310" spans="1:11" ht="13" x14ac:dyDescent="0.6">
      <c r="A310" s="178">
        <f>HYPERLINK("https://bluetooth.atlassian.net/browse/ES-15007",15007)</f>
        <v>15007</v>
      </c>
      <c r="B310" s="176" t="s">
        <v>178</v>
      </c>
      <c r="C310" s="176" t="s">
        <v>179</v>
      </c>
      <c r="D310" s="176" t="s">
        <v>307</v>
      </c>
      <c r="E310" s="177" t="s">
        <v>1</v>
      </c>
      <c r="F310" s="176" t="s">
        <v>299</v>
      </c>
      <c r="G310" s="85" t="str">
        <f>HYPERLINK("https://bluetooth.atlassian.net/browse/ES-15544","15544,")</f>
        <v>15544,</v>
      </c>
      <c r="H310" s="174" t="s">
        <v>1205</v>
      </c>
      <c r="I310" s="2"/>
      <c r="J310" s="2"/>
      <c r="K310" s="2"/>
    </row>
    <row r="311" spans="1:11" ht="13" x14ac:dyDescent="0.6">
      <c r="A311" s="172"/>
      <c r="B311" s="170"/>
      <c r="C311" s="170"/>
      <c r="D311" s="170"/>
      <c r="E311" s="172"/>
      <c r="F311" s="170"/>
      <c r="G311" s="85">
        <f>HYPERLINK("https://bluetooth.atlassian.net/browse/ES-15545",15545)</f>
        <v>15545</v>
      </c>
      <c r="H311" s="175"/>
      <c r="I311" s="2"/>
      <c r="J311" s="2"/>
      <c r="K311" s="2"/>
    </row>
    <row r="312" spans="1:11" ht="13" x14ac:dyDescent="0.6">
      <c r="A312" s="83">
        <f>HYPERLINK("https://bluetooth.atlassian.net/browse/ES-16731",16731)</f>
        <v>16731</v>
      </c>
      <c r="B312" s="76" t="s">
        <v>108</v>
      </c>
      <c r="C312" s="76" t="s">
        <v>614</v>
      </c>
      <c r="D312" s="76" t="s">
        <v>307</v>
      </c>
      <c r="E312" s="92" t="s">
        <v>2</v>
      </c>
      <c r="F312" s="76"/>
      <c r="G312" s="88">
        <v>16615</v>
      </c>
      <c r="H312" s="79" t="s">
        <v>782</v>
      </c>
      <c r="I312" s="2"/>
      <c r="J312" s="2"/>
      <c r="K312" s="2"/>
    </row>
    <row r="313" spans="1:11" ht="13" x14ac:dyDescent="0.6">
      <c r="A313" s="81">
        <f>HYPERLINK("https://bluetooth.atlassian.net/browse/ES-16553 ",16553)</f>
        <v>16553</v>
      </c>
      <c r="B313" s="74" t="s">
        <v>108</v>
      </c>
      <c r="C313" s="74" t="s">
        <v>520</v>
      </c>
      <c r="D313" s="74" t="s">
        <v>304</v>
      </c>
      <c r="E313" s="82" t="s">
        <v>2</v>
      </c>
      <c r="F313" s="74"/>
      <c r="G313" s="74"/>
      <c r="H313" s="78"/>
      <c r="I313" s="2"/>
      <c r="J313" s="2"/>
      <c r="K313" s="2"/>
    </row>
    <row r="314" spans="1:11" ht="13" x14ac:dyDescent="0.6">
      <c r="A314" s="93">
        <f>HYPERLINK("https://bluetooth.atlassian.net/browse/ES-14854",14854)</f>
        <v>14854</v>
      </c>
      <c r="B314" s="76" t="s">
        <v>108</v>
      </c>
      <c r="C314" s="76" t="s">
        <v>164</v>
      </c>
      <c r="D314" s="76" t="s">
        <v>304</v>
      </c>
      <c r="E314" s="84" t="s">
        <v>2</v>
      </c>
      <c r="F314" s="76"/>
      <c r="G314" s="89">
        <f>HYPERLINK("https://bluetooth.atlassian.net/browse/ES-14905",14905)</f>
        <v>14905</v>
      </c>
      <c r="H314" s="79" t="s">
        <v>783</v>
      </c>
      <c r="I314" s="2"/>
      <c r="J314" s="2"/>
      <c r="K314" s="2"/>
    </row>
    <row r="315" spans="1:11" ht="13" x14ac:dyDescent="0.6">
      <c r="A315" s="81">
        <f>HYPERLINK("https://bluetooth.atlassian.net/browse/ES-13387",13387)</f>
        <v>13387</v>
      </c>
      <c r="B315" s="74" t="s">
        <v>108</v>
      </c>
      <c r="C315" s="74" t="s">
        <v>451</v>
      </c>
      <c r="D315" s="74" t="s">
        <v>304</v>
      </c>
      <c r="E315" s="82" t="s">
        <v>2</v>
      </c>
      <c r="F315" s="74"/>
      <c r="G315" s="74"/>
      <c r="H315" s="78" t="s">
        <v>204</v>
      </c>
      <c r="I315" s="2"/>
      <c r="J315" s="2"/>
      <c r="K315" s="2"/>
    </row>
    <row r="316" spans="1:11" ht="13" x14ac:dyDescent="0.6">
      <c r="A316" s="83">
        <f>HYPERLINK("https://bluetooth.atlassian.net/browse/ES-14604",14604)</f>
        <v>14604</v>
      </c>
      <c r="B316" s="76" t="s">
        <v>108</v>
      </c>
      <c r="C316" s="76" t="s">
        <v>440</v>
      </c>
      <c r="D316" s="76" t="s">
        <v>304</v>
      </c>
      <c r="E316" s="84" t="s">
        <v>2</v>
      </c>
      <c r="F316" s="76"/>
      <c r="G316" s="76"/>
      <c r="H316" s="77" t="s">
        <v>204</v>
      </c>
      <c r="I316" s="2"/>
      <c r="J316" s="2"/>
      <c r="K316" s="2"/>
    </row>
    <row r="317" spans="1:11" ht="13" x14ac:dyDescent="0.6">
      <c r="A317" s="81">
        <f>HYPERLINK("https://bluetooth.atlassian.net/browse/ES-14747",14747)</f>
        <v>14747</v>
      </c>
      <c r="B317" s="74" t="s">
        <v>108</v>
      </c>
      <c r="C317" s="74" t="s">
        <v>429</v>
      </c>
      <c r="D317" s="74" t="s">
        <v>304</v>
      </c>
      <c r="E317" s="82" t="s">
        <v>2</v>
      </c>
      <c r="F317" s="74"/>
      <c r="G317" s="74"/>
      <c r="H317" s="75" t="s">
        <v>204</v>
      </c>
      <c r="I317" s="2"/>
      <c r="J317" s="2"/>
      <c r="K317" s="2"/>
    </row>
    <row r="318" spans="1:11" ht="13" x14ac:dyDescent="0.6">
      <c r="A318" s="83">
        <f>HYPERLINK("https://bluetooth.atlassian.net/browse/ES-14835",14835)</f>
        <v>14835</v>
      </c>
      <c r="B318" s="76" t="s">
        <v>108</v>
      </c>
      <c r="C318" s="76" t="s">
        <v>162</v>
      </c>
      <c r="D318" s="76" t="s">
        <v>304</v>
      </c>
      <c r="E318" s="84" t="s">
        <v>2</v>
      </c>
      <c r="F318" s="76"/>
      <c r="G318" s="76"/>
      <c r="H318" s="77" t="s">
        <v>204</v>
      </c>
      <c r="I318" s="2"/>
      <c r="J318" s="2"/>
      <c r="K318" s="2"/>
    </row>
    <row r="319" spans="1:11" ht="13" x14ac:dyDescent="0.6">
      <c r="A319" s="81">
        <f>HYPERLINK("https://bluetooth.atlassian.net/browse/ES-14922",14922)</f>
        <v>14922</v>
      </c>
      <c r="B319" s="74" t="s">
        <v>108</v>
      </c>
      <c r="C319" s="74" t="s">
        <v>168</v>
      </c>
      <c r="D319" s="74" t="s">
        <v>304</v>
      </c>
      <c r="E319" s="82" t="s">
        <v>2</v>
      </c>
      <c r="F319" s="74"/>
      <c r="G319" s="74"/>
      <c r="H319" s="75" t="s">
        <v>204</v>
      </c>
      <c r="I319" s="2"/>
      <c r="J319" s="2"/>
      <c r="K319" s="2"/>
    </row>
    <row r="320" spans="1:11" ht="13" x14ac:dyDescent="0.6">
      <c r="A320" s="83">
        <f>HYPERLINK("https://bluetooth.atlassian.net/browse/ES-15292",15292)</f>
        <v>15292</v>
      </c>
      <c r="B320" s="76" t="s">
        <v>108</v>
      </c>
      <c r="C320" s="76" t="s">
        <v>262</v>
      </c>
      <c r="D320" s="76" t="s">
        <v>304</v>
      </c>
      <c r="E320" s="84" t="s">
        <v>2</v>
      </c>
      <c r="F320" s="76"/>
      <c r="G320" s="76"/>
      <c r="H320" s="77"/>
      <c r="I320" s="2"/>
      <c r="J320" s="2"/>
      <c r="K320" s="2"/>
    </row>
    <row r="321" spans="1:11" ht="13" x14ac:dyDescent="0.6">
      <c r="A321" s="81">
        <f>HYPERLINK("https://bluetooth.atlassian.net/browse/ES-15426",15426)</f>
        <v>15426</v>
      </c>
      <c r="B321" s="74" t="s">
        <v>108</v>
      </c>
      <c r="C321" s="74" t="s">
        <v>375</v>
      </c>
      <c r="D321" s="74" t="s">
        <v>304</v>
      </c>
      <c r="E321" s="82" t="s">
        <v>2</v>
      </c>
      <c r="F321" s="74"/>
      <c r="G321" s="74"/>
      <c r="H321" s="75"/>
      <c r="I321" s="2"/>
      <c r="J321" s="2"/>
      <c r="K321" s="2"/>
    </row>
    <row r="322" spans="1:11" ht="13" x14ac:dyDescent="0.6">
      <c r="A322" s="83">
        <f>HYPERLINK("https://bluetooth.atlassian.net/browse/ES-15495",15495)</f>
        <v>15495</v>
      </c>
      <c r="B322" s="76" t="s">
        <v>108</v>
      </c>
      <c r="C322" s="76" t="s">
        <v>273</v>
      </c>
      <c r="D322" s="76" t="s">
        <v>304</v>
      </c>
      <c r="E322" s="84" t="s">
        <v>2</v>
      </c>
      <c r="F322" s="76"/>
      <c r="G322" s="76"/>
      <c r="H322" s="77"/>
      <c r="I322" s="2"/>
      <c r="J322" s="2"/>
      <c r="K322" s="2"/>
    </row>
    <row r="323" spans="1:11" ht="13" x14ac:dyDescent="0.6">
      <c r="A323" s="81">
        <f>HYPERLINK("https://bluetooth.atlassian.net/browse/ES-15659",15659)</f>
        <v>15659</v>
      </c>
      <c r="B323" s="74" t="s">
        <v>108</v>
      </c>
      <c r="C323" s="74" t="s">
        <v>290</v>
      </c>
      <c r="D323" s="74" t="s">
        <v>304</v>
      </c>
      <c r="E323" s="82" t="s">
        <v>2</v>
      </c>
      <c r="F323" s="74"/>
      <c r="G323" s="74"/>
      <c r="H323" s="75"/>
      <c r="I323" s="2"/>
      <c r="J323" s="2"/>
      <c r="K323" s="2"/>
    </row>
    <row r="324" spans="1:11" ht="13" x14ac:dyDescent="0.6">
      <c r="A324" s="83">
        <f>HYPERLINK("https://bluetooth.atlassian.net/browse/ES-16580 ",16580)</f>
        <v>16580</v>
      </c>
      <c r="B324" s="76" t="s">
        <v>108</v>
      </c>
      <c r="C324" s="76" t="s">
        <v>526</v>
      </c>
      <c r="D324" s="76" t="s">
        <v>304</v>
      </c>
      <c r="E324" s="84" t="s">
        <v>2</v>
      </c>
      <c r="F324" s="76"/>
      <c r="G324" s="76"/>
      <c r="H324" s="77"/>
      <c r="I324" s="2"/>
      <c r="J324" s="2"/>
      <c r="K324" s="2"/>
    </row>
    <row r="325" spans="1:11" ht="13" x14ac:dyDescent="0.6">
      <c r="A325" s="81">
        <f>HYPERLINK("https://bluetooth.atlassian.net/browse/ES-16363 ",16363)</f>
        <v>16363</v>
      </c>
      <c r="B325" s="74" t="s">
        <v>108</v>
      </c>
      <c r="C325" s="74" t="s">
        <v>501</v>
      </c>
      <c r="D325" s="74" t="s">
        <v>305</v>
      </c>
      <c r="E325" s="82" t="s">
        <v>2</v>
      </c>
      <c r="F325" s="74"/>
      <c r="G325" s="74"/>
      <c r="H325" s="75"/>
      <c r="I325" s="2"/>
      <c r="J325" s="2"/>
      <c r="K325" s="2"/>
    </row>
    <row r="326" spans="1:11" ht="26" x14ac:dyDescent="0.6">
      <c r="A326" s="83">
        <f>HYPERLINK("https://bluetooth.atlassian.net/browse/ES-13260",13260)</f>
        <v>13260</v>
      </c>
      <c r="B326" s="76" t="s">
        <v>108</v>
      </c>
      <c r="C326" s="76" t="s">
        <v>489</v>
      </c>
      <c r="D326" s="76" t="s">
        <v>305</v>
      </c>
      <c r="E326" s="84" t="s">
        <v>2</v>
      </c>
      <c r="F326" s="76"/>
      <c r="G326" s="76"/>
      <c r="H326" s="77" t="s">
        <v>204</v>
      </c>
      <c r="I326" s="2"/>
      <c r="J326" s="2"/>
      <c r="K326" s="2"/>
    </row>
    <row r="327" spans="1:11" ht="13" x14ac:dyDescent="0.6">
      <c r="A327" s="81">
        <f>HYPERLINK("https://bluetooth.atlassian.net/browse/ES-13591",13591)</f>
        <v>13591</v>
      </c>
      <c r="B327" s="74" t="s">
        <v>108</v>
      </c>
      <c r="C327" s="74" t="s">
        <v>138</v>
      </c>
      <c r="D327" s="74" t="s">
        <v>305</v>
      </c>
      <c r="E327" s="82" t="s">
        <v>2</v>
      </c>
      <c r="F327" s="74"/>
      <c r="G327" s="74"/>
      <c r="H327" s="75" t="s">
        <v>204</v>
      </c>
      <c r="I327" s="2"/>
      <c r="J327" s="2"/>
      <c r="K327" s="2"/>
    </row>
    <row r="328" spans="1:11" ht="13" x14ac:dyDescent="0.6">
      <c r="A328" s="83">
        <f>HYPERLINK("https://bluetooth.atlassian.net/browse/ES-13603",13603)</f>
        <v>13603</v>
      </c>
      <c r="B328" s="76" t="s">
        <v>108</v>
      </c>
      <c r="C328" s="76" t="s">
        <v>140</v>
      </c>
      <c r="D328" s="76" t="s">
        <v>305</v>
      </c>
      <c r="E328" s="84" t="s">
        <v>2</v>
      </c>
      <c r="F328" s="76"/>
      <c r="G328" s="76"/>
      <c r="H328" s="77" t="s">
        <v>204</v>
      </c>
      <c r="I328" s="2"/>
      <c r="J328" s="2"/>
      <c r="K328" s="2"/>
    </row>
    <row r="329" spans="1:11" ht="13" x14ac:dyDescent="0.6">
      <c r="A329" s="81">
        <f>HYPERLINK("https://bluetooth.atlassian.net/browse/ES-14699",14699)</f>
        <v>14699</v>
      </c>
      <c r="B329" s="74" t="s">
        <v>108</v>
      </c>
      <c r="C329" s="74" t="s">
        <v>149</v>
      </c>
      <c r="D329" s="74" t="s">
        <v>305</v>
      </c>
      <c r="E329" s="82" t="s">
        <v>2</v>
      </c>
      <c r="F329" s="74"/>
      <c r="G329" s="74"/>
      <c r="H329" s="75" t="s">
        <v>204</v>
      </c>
      <c r="I329" s="2"/>
      <c r="J329" s="2"/>
      <c r="K329" s="2"/>
    </row>
    <row r="330" spans="1:11" ht="13" x14ac:dyDescent="0.6">
      <c r="A330" s="83">
        <f>HYPERLINK("https://bluetooth.atlassian.net/browse/ES-15059",15059)</f>
        <v>15059</v>
      </c>
      <c r="B330" s="76" t="s">
        <v>108</v>
      </c>
      <c r="C330" s="76" t="s">
        <v>186</v>
      </c>
      <c r="D330" s="76" t="s">
        <v>305</v>
      </c>
      <c r="E330" s="84" t="s">
        <v>2</v>
      </c>
      <c r="F330" s="76"/>
      <c r="G330" s="76"/>
      <c r="H330" s="77" t="s">
        <v>204</v>
      </c>
      <c r="I330" s="2"/>
      <c r="J330" s="2"/>
      <c r="K330" s="2"/>
    </row>
    <row r="331" spans="1:11" ht="13" x14ac:dyDescent="0.6">
      <c r="A331" s="81">
        <f>HYPERLINK("https://bluetooth.atlassian.net/browse/ES-15096",15096)</f>
        <v>15096</v>
      </c>
      <c r="B331" s="74" t="s">
        <v>178</v>
      </c>
      <c r="C331" s="74" t="s">
        <v>189</v>
      </c>
      <c r="D331" s="74" t="s">
        <v>305</v>
      </c>
      <c r="E331" s="82" t="s">
        <v>2</v>
      </c>
      <c r="F331" s="74"/>
      <c r="G331" s="74"/>
      <c r="H331" s="75" t="s">
        <v>204</v>
      </c>
      <c r="I331" s="2"/>
      <c r="J331" s="2"/>
      <c r="K331" s="2"/>
    </row>
    <row r="332" spans="1:11" ht="13" x14ac:dyDescent="0.6">
      <c r="A332" s="83">
        <f>HYPERLINK("https://bluetooth.atlassian.net/browse/ES-15312",15312)</f>
        <v>15312</v>
      </c>
      <c r="B332" s="76" t="s">
        <v>108</v>
      </c>
      <c r="C332" s="76" t="s">
        <v>263</v>
      </c>
      <c r="D332" s="76" t="s">
        <v>305</v>
      </c>
      <c r="E332" s="84" t="s">
        <v>2</v>
      </c>
      <c r="F332" s="76"/>
      <c r="G332" s="76"/>
      <c r="H332" s="77"/>
      <c r="I332" s="2"/>
      <c r="J332" s="2"/>
      <c r="K332" s="2"/>
    </row>
    <row r="333" spans="1:11" ht="13" x14ac:dyDescent="0.6">
      <c r="A333" s="81">
        <f>HYPERLINK("https://bluetooth.atlassian.net/browse/ES-15421",15421)</f>
        <v>15421</v>
      </c>
      <c r="B333" s="74" t="s">
        <v>108</v>
      </c>
      <c r="C333" s="74" t="s">
        <v>376</v>
      </c>
      <c r="D333" s="74" t="s">
        <v>305</v>
      </c>
      <c r="E333" s="82" t="s">
        <v>2</v>
      </c>
      <c r="F333" s="74"/>
      <c r="G333" s="74"/>
      <c r="H333" s="75"/>
      <c r="I333" s="2"/>
      <c r="J333" s="2"/>
      <c r="K333" s="2"/>
    </row>
    <row r="334" spans="1:11" ht="13" x14ac:dyDescent="0.6">
      <c r="A334" s="83">
        <f>HYPERLINK("https://bluetooth.atlassian.net/browse/ES-15518",15518)</f>
        <v>15518</v>
      </c>
      <c r="B334" s="76" t="s">
        <v>108</v>
      </c>
      <c r="C334" s="76" t="s">
        <v>275</v>
      </c>
      <c r="D334" s="76" t="s">
        <v>305</v>
      </c>
      <c r="E334" s="84" t="s">
        <v>2</v>
      </c>
      <c r="F334" s="76"/>
      <c r="G334" s="76"/>
      <c r="H334" s="77"/>
      <c r="I334" s="2"/>
      <c r="J334" s="2"/>
      <c r="K334" s="2"/>
    </row>
    <row r="335" spans="1:11" ht="13" x14ac:dyDescent="0.6">
      <c r="A335" s="81">
        <f>HYPERLINK("https://bluetooth.atlassian.net/browse/ES-15584",15584)</f>
        <v>15584</v>
      </c>
      <c r="B335" s="74" t="s">
        <v>108</v>
      </c>
      <c r="C335" s="74" t="s">
        <v>285</v>
      </c>
      <c r="D335" s="74" t="s">
        <v>305</v>
      </c>
      <c r="E335" s="82" t="s">
        <v>2</v>
      </c>
      <c r="F335" s="74"/>
      <c r="G335" s="74"/>
      <c r="H335" s="75"/>
      <c r="I335" s="2"/>
      <c r="J335" s="2"/>
      <c r="K335" s="2"/>
    </row>
    <row r="336" spans="1:11" ht="13" x14ac:dyDescent="0.6">
      <c r="A336" s="83">
        <f>HYPERLINK("https://bluetooth.atlassian.net/browse/ES-16067",16067)</f>
        <v>16067</v>
      </c>
      <c r="B336" s="76" t="s">
        <v>108</v>
      </c>
      <c r="C336" s="76" t="s">
        <v>350</v>
      </c>
      <c r="D336" s="76" t="s">
        <v>305</v>
      </c>
      <c r="E336" s="84" t="s">
        <v>2</v>
      </c>
      <c r="F336" s="76"/>
      <c r="G336" s="76"/>
      <c r="H336" s="77"/>
      <c r="I336" s="2"/>
      <c r="J336" s="2"/>
      <c r="K336" s="2"/>
    </row>
    <row r="337" spans="1:11" ht="13" x14ac:dyDescent="0.6">
      <c r="A337" s="81">
        <f>HYPERLINK("https://bluetooth.atlassian.net/browse/ES-16067",16067)</f>
        <v>16067</v>
      </c>
      <c r="B337" s="74" t="s">
        <v>108</v>
      </c>
      <c r="C337" s="74" t="s">
        <v>350</v>
      </c>
      <c r="D337" s="74" t="s">
        <v>305</v>
      </c>
      <c r="E337" s="82" t="s">
        <v>2</v>
      </c>
      <c r="F337" s="74"/>
      <c r="G337" s="74"/>
      <c r="H337" s="75"/>
      <c r="I337" s="2"/>
      <c r="J337" s="2"/>
      <c r="K337" s="2"/>
    </row>
    <row r="338" spans="1:11" ht="13" x14ac:dyDescent="0.6">
      <c r="A338" s="83">
        <f>HYPERLINK("https://bluetooth.atlassian.net/browse/ES-16442 ",16442)</f>
        <v>16442</v>
      </c>
      <c r="B338" s="76" t="s">
        <v>108</v>
      </c>
      <c r="C338" s="76" t="s">
        <v>507</v>
      </c>
      <c r="D338" s="76" t="s">
        <v>305</v>
      </c>
      <c r="E338" s="84" t="s">
        <v>2</v>
      </c>
      <c r="F338" s="76"/>
      <c r="G338" s="76"/>
      <c r="H338" s="77"/>
      <c r="I338" s="2"/>
      <c r="J338" s="2"/>
      <c r="K338" s="2"/>
    </row>
    <row r="339" spans="1:11" ht="13" x14ac:dyDescent="0.6">
      <c r="A339" s="81">
        <f>HYPERLINK("https://bluetooth.atlassian.net/browse/ES-16537 ",16537)</f>
        <v>16537</v>
      </c>
      <c r="B339" s="74" t="s">
        <v>108</v>
      </c>
      <c r="C339" s="74" t="s">
        <v>517</v>
      </c>
      <c r="D339" s="74" t="s">
        <v>305</v>
      </c>
      <c r="E339" s="82" t="s">
        <v>2</v>
      </c>
      <c r="F339" s="74"/>
      <c r="G339" s="74"/>
      <c r="H339" s="75"/>
      <c r="I339" s="2"/>
      <c r="J339" s="2"/>
      <c r="K339" s="2"/>
    </row>
    <row r="340" spans="1:11" ht="13" x14ac:dyDescent="0.6">
      <c r="A340" s="83">
        <f>HYPERLINK("https://bluetooth.atlassian.net/browse/ES-16584 ",16584)</f>
        <v>16584</v>
      </c>
      <c r="B340" s="76" t="s">
        <v>108</v>
      </c>
      <c r="C340" s="76" t="s">
        <v>527</v>
      </c>
      <c r="D340" s="76" t="s">
        <v>305</v>
      </c>
      <c r="E340" s="84" t="s">
        <v>2</v>
      </c>
      <c r="F340" s="76"/>
      <c r="G340" s="76"/>
      <c r="H340" s="77"/>
      <c r="I340" s="2"/>
      <c r="J340" s="2"/>
      <c r="K340" s="2"/>
    </row>
    <row r="341" spans="1:11" ht="13" x14ac:dyDescent="0.6">
      <c r="A341" s="81">
        <f>HYPERLINK("https://bluetooth.atlassian.net/browse/ES-14750",14750)</f>
        <v>14750</v>
      </c>
      <c r="B341" s="74" t="s">
        <v>108</v>
      </c>
      <c r="C341" s="74" t="s">
        <v>427</v>
      </c>
      <c r="D341" s="74" t="s">
        <v>307</v>
      </c>
      <c r="E341" s="82" t="s">
        <v>2</v>
      </c>
      <c r="F341" s="74"/>
      <c r="G341" s="87">
        <f>HYPERLINK("https://bluetooth.atlassian.net/browse/ES-15629",15629)</f>
        <v>15629</v>
      </c>
      <c r="H341" s="75" t="s">
        <v>621</v>
      </c>
      <c r="I341" s="2"/>
      <c r="J341" s="2"/>
      <c r="K341" s="2"/>
    </row>
    <row r="342" spans="1:11" ht="26" x14ac:dyDescent="0.6">
      <c r="A342" s="83">
        <f>HYPERLINK("https://bluetooth.atlassian.net/browse/ES-15235",15235)</f>
        <v>15235</v>
      </c>
      <c r="B342" s="76" t="s">
        <v>108</v>
      </c>
      <c r="C342" s="76" t="s">
        <v>390</v>
      </c>
      <c r="D342" s="76" t="s">
        <v>307</v>
      </c>
      <c r="E342" s="84" t="s">
        <v>2</v>
      </c>
      <c r="F342" s="76"/>
      <c r="G342" s="88">
        <f>HYPERLINK("https://bluetooth.atlassian.net/browse/ES-15291",15291)</f>
        <v>15291</v>
      </c>
      <c r="H342" s="77" t="s">
        <v>459</v>
      </c>
      <c r="I342" s="2"/>
      <c r="J342" s="2"/>
      <c r="K342" s="2"/>
    </row>
    <row r="343" spans="1:11" ht="13" x14ac:dyDescent="0.6">
      <c r="A343" s="81">
        <f>HYPERLINK("https://bluetooth.atlassian.net/browse/ES-16347 ",16347)</f>
        <v>16347</v>
      </c>
      <c r="B343" s="74" t="s">
        <v>108</v>
      </c>
      <c r="C343" s="74" t="s">
        <v>500</v>
      </c>
      <c r="D343" s="74" t="s">
        <v>307</v>
      </c>
      <c r="E343" s="82" t="s">
        <v>2</v>
      </c>
      <c r="F343" s="74"/>
      <c r="G343" s="74"/>
      <c r="H343" s="75"/>
      <c r="I343" s="2"/>
      <c r="J343" s="2"/>
      <c r="K343" s="2"/>
    </row>
    <row r="344" spans="1:11" ht="13" x14ac:dyDescent="0.6">
      <c r="A344" s="83">
        <f>HYPERLINK("https://bluetooth.atlassian.net/browse/ES-14779",14779)</f>
        <v>14779</v>
      </c>
      <c r="B344" s="76" t="s">
        <v>108</v>
      </c>
      <c r="C344" s="76" t="s">
        <v>423</v>
      </c>
      <c r="D344" s="76" t="s">
        <v>307</v>
      </c>
      <c r="E344" s="84" t="s">
        <v>2</v>
      </c>
      <c r="F344" s="76"/>
      <c r="G344" s="76"/>
      <c r="H344" s="77" t="s">
        <v>204</v>
      </c>
      <c r="I344" s="2"/>
      <c r="J344" s="2"/>
      <c r="K344" s="2"/>
    </row>
    <row r="345" spans="1:11" ht="13" x14ac:dyDescent="0.6">
      <c r="A345" s="81">
        <f>HYPERLINK("https://bluetooth.atlassian.net/browse/ES-14911",14911)</f>
        <v>14911</v>
      </c>
      <c r="B345" s="74" t="s">
        <v>108</v>
      </c>
      <c r="C345" s="74" t="s">
        <v>414</v>
      </c>
      <c r="D345" s="74" t="s">
        <v>307</v>
      </c>
      <c r="E345" s="82" t="s">
        <v>2</v>
      </c>
      <c r="F345" s="74"/>
      <c r="G345" s="74"/>
      <c r="H345" s="75" t="s">
        <v>204</v>
      </c>
      <c r="I345" s="2"/>
      <c r="J345" s="2"/>
      <c r="K345" s="2"/>
    </row>
    <row r="346" spans="1:11" ht="13" x14ac:dyDescent="0.6">
      <c r="A346" s="83">
        <f>HYPERLINK("https://bluetooth.atlassian.net/browse/ES-16210",16210)</f>
        <v>16210</v>
      </c>
      <c r="B346" s="76" t="s">
        <v>108</v>
      </c>
      <c r="C346" s="76" t="s">
        <v>322</v>
      </c>
      <c r="D346" s="76" t="s">
        <v>307</v>
      </c>
      <c r="E346" s="84" t="s">
        <v>2</v>
      </c>
      <c r="F346" s="76"/>
      <c r="G346" s="76"/>
      <c r="H346" s="77"/>
      <c r="I346" s="2"/>
      <c r="J346" s="2"/>
      <c r="K346" s="2"/>
    </row>
    <row r="347" spans="1:11" ht="13" x14ac:dyDescent="0.6">
      <c r="A347" s="81">
        <f>HYPERLINK("https://bluetooth.atlassian.net/browse/ES-16346",16346)</f>
        <v>16346</v>
      </c>
      <c r="B347" s="74" t="s">
        <v>108</v>
      </c>
      <c r="C347" s="74" t="s">
        <v>339</v>
      </c>
      <c r="D347" s="74" t="s">
        <v>307</v>
      </c>
      <c r="E347" s="82" t="s">
        <v>2</v>
      </c>
      <c r="F347" s="74"/>
      <c r="G347" s="74"/>
      <c r="H347" s="75"/>
      <c r="I347" s="2"/>
      <c r="J347" s="2"/>
      <c r="K347" s="2"/>
    </row>
    <row r="348" spans="1:11" ht="13" x14ac:dyDescent="0.6">
      <c r="A348" s="83">
        <f>HYPERLINK("https://bluetooth.atlassian.net/browse/ES-16657 ",16657)</f>
        <v>16657</v>
      </c>
      <c r="B348" s="76" t="s">
        <v>108</v>
      </c>
      <c r="C348" s="76" t="s">
        <v>530</v>
      </c>
      <c r="D348" s="76" t="s">
        <v>307</v>
      </c>
      <c r="E348" s="84" t="s">
        <v>2</v>
      </c>
      <c r="F348" s="76"/>
      <c r="G348" s="76"/>
      <c r="H348" s="77"/>
      <c r="I348" s="2"/>
      <c r="J348" s="2"/>
      <c r="K348" s="2"/>
    </row>
    <row r="349" spans="1:11" ht="13" x14ac:dyDescent="0.6">
      <c r="A349" s="81">
        <f>HYPERLINK("https://bluetooth.atlassian.net/browse/ES-13512",13512)</f>
        <v>13512</v>
      </c>
      <c r="B349" s="74" t="s">
        <v>108</v>
      </c>
      <c r="C349" s="74" t="s">
        <v>443</v>
      </c>
      <c r="D349" s="74" t="s">
        <v>307</v>
      </c>
      <c r="E349" s="82" t="s">
        <v>2</v>
      </c>
      <c r="F349" s="74"/>
      <c r="G349" s="74"/>
      <c r="H349" s="75" t="s">
        <v>204</v>
      </c>
      <c r="I349" s="2"/>
      <c r="J349" s="2"/>
      <c r="K349" s="2"/>
    </row>
    <row r="350" spans="1:11" ht="13" x14ac:dyDescent="0.6">
      <c r="A350" s="83">
        <f>HYPERLINK("https://bluetooth.atlassian.net/browse/ES-15818",15818)</f>
        <v>15818</v>
      </c>
      <c r="B350" s="76" t="s">
        <v>108</v>
      </c>
      <c r="C350" s="76" t="s">
        <v>294</v>
      </c>
      <c r="D350" s="76" t="s">
        <v>307</v>
      </c>
      <c r="E350" s="84" t="s">
        <v>2</v>
      </c>
      <c r="F350" s="76"/>
      <c r="G350" s="76"/>
      <c r="H350" s="77"/>
      <c r="I350" s="2"/>
      <c r="J350" s="2"/>
      <c r="K350" s="2"/>
    </row>
    <row r="351" spans="1:11" ht="13" x14ac:dyDescent="0.6">
      <c r="A351" s="81">
        <f>HYPERLINK("https://bluetooth.atlassian.net/browse/ES-12908",12908)</f>
        <v>12908</v>
      </c>
      <c r="B351" s="74" t="s">
        <v>66</v>
      </c>
      <c r="C351" s="74" t="s">
        <v>474</v>
      </c>
      <c r="D351" s="74" t="s">
        <v>305</v>
      </c>
      <c r="E351" s="82" t="s">
        <v>1</v>
      </c>
      <c r="F351" s="74">
        <v>4</v>
      </c>
      <c r="G351" s="87">
        <f>HYPERLINK("https://bluetooth.atlassian.net/browse/ES-13240",13240)</f>
        <v>13240</v>
      </c>
      <c r="H351" s="78" t="s">
        <v>1206</v>
      </c>
      <c r="I351" s="2"/>
      <c r="J351" s="2"/>
      <c r="K351" s="2"/>
    </row>
    <row r="352" spans="1:11" ht="13" x14ac:dyDescent="0.6">
      <c r="A352" s="83">
        <f>HYPERLINK("https://bluetooth.atlassian.net/browse/ES-13167",13167)</f>
        <v>13167</v>
      </c>
      <c r="B352" s="76" t="s">
        <v>66</v>
      </c>
      <c r="C352" s="76" t="s">
        <v>82</v>
      </c>
      <c r="D352" s="76" t="s">
        <v>305</v>
      </c>
      <c r="E352" s="84" t="s">
        <v>1</v>
      </c>
      <c r="F352" s="76">
        <v>4</v>
      </c>
      <c r="G352" s="88">
        <f>HYPERLINK("https://bluetooth.atlassian.net/browse/ES-13380",13380)</f>
        <v>13380</v>
      </c>
      <c r="H352" s="79" t="s">
        <v>1207</v>
      </c>
      <c r="I352" s="2"/>
      <c r="J352" s="2"/>
      <c r="K352" s="2"/>
    </row>
    <row r="353" spans="1:11" ht="13" x14ac:dyDescent="0.6">
      <c r="A353" s="81">
        <f>HYPERLINK("https://bluetooth.atlassian.net/browse/ES-15834",15834)</f>
        <v>15834</v>
      </c>
      <c r="B353" s="74" t="s">
        <v>148</v>
      </c>
      <c r="C353" s="74" t="s">
        <v>355</v>
      </c>
      <c r="D353" s="74" t="s">
        <v>305</v>
      </c>
      <c r="E353" s="82" t="s">
        <v>1</v>
      </c>
      <c r="F353" s="74">
        <v>4</v>
      </c>
      <c r="G353" s="87">
        <f>HYPERLINK("https://bluetooth.atlassian.net/browse/ES-15936",15936)</f>
        <v>15936</v>
      </c>
      <c r="H353" s="78" t="s">
        <v>1208</v>
      </c>
      <c r="I353" s="2"/>
      <c r="J353" s="2"/>
      <c r="K353" s="2"/>
    </row>
    <row r="354" spans="1:11" ht="12.95" customHeight="1" x14ac:dyDescent="0.6">
      <c r="A354" s="83">
        <f>HYPERLINK("https://bluetooth.atlassian.net/browse/ES-14689",14689)</f>
        <v>14689</v>
      </c>
      <c r="B354" s="76" t="s">
        <v>148</v>
      </c>
      <c r="C354" s="76" t="s">
        <v>433</v>
      </c>
      <c r="D354" s="76" t="s">
        <v>307</v>
      </c>
      <c r="E354" s="84" t="s">
        <v>1</v>
      </c>
      <c r="F354" s="76">
        <v>4</v>
      </c>
      <c r="G354" s="89">
        <f>HYPERLINK("https://bluetooth.atlassian.net/browse/ES-14809",14809)</f>
        <v>14809</v>
      </c>
      <c r="H354" s="79" t="s">
        <v>1209</v>
      </c>
      <c r="I354" s="2"/>
      <c r="J354" s="2"/>
      <c r="K354" s="2"/>
    </row>
    <row r="355" spans="1:11" ht="13" x14ac:dyDescent="0.6">
      <c r="A355" s="81">
        <f>HYPERLINK("https://bluetooth.atlassian.net/browse/ES-16566 ",16566)</f>
        <v>16566</v>
      </c>
      <c r="B355" s="74" t="s">
        <v>148</v>
      </c>
      <c r="C355" s="74" t="s">
        <v>524</v>
      </c>
      <c r="D355" s="74" t="s">
        <v>304</v>
      </c>
      <c r="E355" s="82" t="s">
        <v>2</v>
      </c>
      <c r="F355" s="74"/>
      <c r="G355" s="74"/>
      <c r="H355" s="78"/>
      <c r="I355" s="2"/>
      <c r="J355" s="2"/>
      <c r="K355" s="2"/>
    </row>
    <row r="356" spans="1:11" ht="13" x14ac:dyDescent="0.6">
      <c r="A356" s="83">
        <f>HYPERLINK("https://bluetooth.atlassian.net/browse/ES-16500 ",16500)</f>
        <v>16500</v>
      </c>
      <c r="B356" s="76" t="s">
        <v>148</v>
      </c>
      <c r="C356" s="76" t="s">
        <v>512</v>
      </c>
      <c r="D356" s="76" t="s">
        <v>513</v>
      </c>
      <c r="E356" s="84" t="s">
        <v>2</v>
      </c>
      <c r="F356" s="76"/>
      <c r="G356" s="76"/>
      <c r="H356" s="79"/>
      <c r="I356" s="2"/>
      <c r="J356" s="2"/>
      <c r="K356" s="2"/>
    </row>
    <row r="357" spans="1:11" ht="13" x14ac:dyDescent="0.6">
      <c r="A357" s="81">
        <f>HYPERLINK("https://bluetooth.atlassian.net/browse/ES-15639",15639)</f>
        <v>15639</v>
      </c>
      <c r="B357" s="74" t="s">
        <v>148</v>
      </c>
      <c r="C357" s="74" t="s">
        <v>288</v>
      </c>
      <c r="D357" s="74" t="s">
        <v>310</v>
      </c>
      <c r="E357" s="82" t="s">
        <v>2</v>
      </c>
      <c r="F357" s="74"/>
      <c r="G357" s="74"/>
      <c r="H357" s="78"/>
      <c r="I357" s="2"/>
      <c r="J357" s="2"/>
      <c r="K357" s="2"/>
    </row>
    <row r="358" spans="1:11" ht="13" x14ac:dyDescent="0.6">
      <c r="A358" s="83">
        <f>HYPERLINK("https://bluetooth.atlassian.net/browse/ES-15162",15162)</f>
        <v>15162</v>
      </c>
      <c r="B358" s="76" t="s">
        <v>148</v>
      </c>
      <c r="C358" s="76" t="s">
        <v>393</v>
      </c>
      <c r="D358" s="76" t="s">
        <v>305</v>
      </c>
      <c r="E358" s="84" t="s">
        <v>2</v>
      </c>
      <c r="F358" s="76"/>
      <c r="G358" s="76"/>
      <c r="H358" s="79" t="s">
        <v>204</v>
      </c>
      <c r="I358" s="2"/>
      <c r="J358" s="2"/>
      <c r="K358" s="2"/>
    </row>
    <row r="359" spans="1:11" ht="13" x14ac:dyDescent="0.6">
      <c r="A359" s="81">
        <f>HYPERLINK("https://bluetooth.atlassian.net/browse/ES-15388",15388)</f>
        <v>15388</v>
      </c>
      <c r="B359" s="74" t="s">
        <v>148</v>
      </c>
      <c r="C359" s="74" t="s">
        <v>268</v>
      </c>
      <c r="D359" s="74" t="s">
        <v>305</v>
      </c>
      <c r="E359" s="82" t="s">
        <v>2</v>
      </c>
      <c r="F359" s="74"/>
      <c r="G359" s="74"/>
      <c r="H359" s="78"/>
      <c r="I359" s="2"/>
      <c r="J359" s="2"/>
      <c r="K359" s="2"/>
    </row>
    <row r="360" spans="1:11" ht="13" x14ac:dyDescent="0.6">
      <c r="A360" s="83">
        <f>HYPERLINK("https://bluetooth.atlassian.net/browse/ES-15541",15541)</f>
        <v>15541</v>
      </c>
      <c r="B360" s="76" t="s">
        <v>148</v>
      </c>
      <c r="C360" s="76" t="s">
        <v>278</v>
      </c>
      <c r="D360" s="76" t="s">
        <v>305</v>
      </c>
      <c r="E360" s="84" t="s">
        <v>2</v>
      </c>
      <c r="F360" s="76"/>
      <c r="G360" s="76"/>
      <c r="H360" s="79"/>
      <c r="I360" s="2"/>
      <c r="J360" s="2"/>
      <c r="K360" s="2"/>
    </row>
    <row r="361" spans="1:11" ht="13" x14ac:dyDescent="0.6">
      <c r="A361" s="81">
        <f>HYPERLINK("https://bluetooth.atlassian.net/browse/ES-15467",15467)</f>
        <v>15467</v>
      </c>
      <c r="B361" s="74" t="s">
        <v>148</v>
      </c>
      <c r="C361" s="74" t="s">
        <v>272</v>
      </c>
      <c r="D361" s="74" t="s">
        <v>307</v>
      </c>
      <c r="E361" s="82" t="s">
        <v>2</v>
      </c>
      <c r="F361" s="74"/>
      <c r="G361" s="74"/>
      <c r="H361" s="78"/>
      <c r="I361" s="2"/>
      <c r="J361" s="2"/>
      <c r="K361" s="2"/>
    </row>
    <row r="362" spans="1:11" ht="13" x14ac:dyDescent="0.6">
      <c r="A362" s="83">
        <f>HYPERLINK("https://bluetooth.atlassian.net/browse/ES-12495",12495)</f>
        <v>12495</v>
      </c>
      <c r="B362" s="76" t="s">
        <v>632</v>
      </c>
      <c r="C362" s="76" t="s">
        <v>50</v>
      </c>
      <c r="D362" s="76" t="s">
        <v>304</v>
      </c>
      <c r="E362" s="84" t="s">
        <v>2</v>
      </c>
      <c r="F362" s="76"/>
      <c r="G362" s="76"/>
      <c r="H362" s="79" t="s">
        <v>204</v>
      </c>
      <c r="I362" s="2"/>
      <c r="J362" s="2"/>
      <c r="K362" s="2"/>
    </row>
    <row r="363" spans="1:11" ht="13" x14ac:dyDescent="0.6">
      <c r="A363" s="178">
        <f>HYPERLINK("https://bluetooth.atlassian.net/browse/ES-11424",11424)</f>
        <v>11424</v>
      </c>
      <c r="B363" s="176" t="s">
        <v>13</v>
      </c>
      <c r="C363" s="176" t="s">
        <v>17</v>
      </c>
      <c r="D363" s="176" t="s">
        <v>304</v>
      </c>
      <c r="E363" s="177" t="s">
        <v>1</v>
      </c>
      <c r="F363" s="176" t="s">
        <v>631</v>
      </c>
      <c r="G363" s="85" t="str">
        <f>HYPERLINK("https://bluetooth.atlassian.net/browse/ES-15257","15257,")</f>
        <v>15257,</v>
      </c>
      <c r="H363" s="174" t="s">
        <v>1210</v>
      </c>
      <c r="I363" s="2"/>
      <c r="J363" s="2"/>
      <c r="K363" s="2"/>
    </row>
    <row r="364" spans="1:11" ht="13" x14ac:dyDescent="0.6">
      <c r="A364" s="172"/>
      <c r="B364" s="170"/>
      <c r="C364" s="170"/>
      <c r="D364" s="170"/>
      <c r="E364" s="172"/>
      <c r="F364" s="170"/>
      <c r="G364" s="85">
        <f>HYPERLINK("https://bluetooth.atlassian.net/browse/ES-15258",15258)</f>
        <v>15258</v>
      </c>
      <c r="H364" s="175"/>
      <c r="I364" s="2"/>
      <c r="J364" s="2"/>
      <c r="K364" s="2"/>
    </row>
    <row r="365" spans="1:11" ht="13" x14ac:dyDescent="0.6">
      <c r="A365" s="83">
        <f>HYPERLINK("https://bluetooth.atlassian.net/browse/ES-11289",11289)</f>
        <v>11289</v>
      </c>
      <c r="B365" s="76" t="s">
        <v>13</v>
      </c>
      <c r="C365" s="76" t="s">
        <v>14</v>
      </c>
      <c r="D365" s="76" t="s">
        <v>304</v>
      </c>
      <c r="E365" s="84" t="s">
        <v>2</v>
      </c>
      <c r="F365" s="76"/>
      <c r="G365" s="76"/>
      <c r="H365" s="79" t="s">
        <v>204</v>
      </c>
      <c r="I365" s="2"/>
      <c r="J365" s="2"/>
      <c r="K365" s="2"/>
    </row>
    <row r="366" spans="1:11" ht="13" x14ac:dyDescent="0.6">
      <c r="A366" s="81">
        <f>HYPERLINK("https://bluetooth.atlassian.net/browse/ES-11289 ",11289)</f>
        <v>11289</v>
      </c>
      <c r="B366" s="74" t="s">
        <v>577</v>
      </c>
      <c r="C366" s="74" t="s">
        <v>14</v>
      </c>
      <c r="D366" s="74" t="s">
        <v>304</v>
      </c>
      <c r="E366" s="82" t="s">
        <v>2</v>
      </c>
      <c r="F366" s="74"/>
      <c r="G366" s="74"/>
      <c r="H366" s="75"/>
      <c r="I366" s="2"/>
      <c r="J366" s="2"/>
      <c r="K366" s="2"/>
    </row>
    <row r="367" spans="1:11" ht="13" x14ac:dyDescent="0.6">
      <c r="A367" s="83">
        <f>HYPERLINK("https://bluetooth.atlassian.net/browse/ES-11426 ",11426)</f>
        <v>11426</v>
      </c>
      <c r="B367" s="76" t="s">
        <v>577</v>
      </c>
      <c r="C367" s="76" t="s">
        <v>576</v>
      </c>
      <c r="D367" s="76" t="s">
        <v>304</v>
      </c>
      <c r="E367" s="84" t="s">
        <v>2</v>
      </c>
      <c r="F367" s="76"/>
      <c r="G367" s="76"/>
      <c r="H367" s="77"/>
      <c r="I367" s="2"/>
      <c r="J367" s="2"/>
      <c r="K367" s="2"/>
    </row>
    <row r="368" spans="1:11" ht="13" x14ac:dyDescent="0.6">
      <c r="A368" s="81">
        <f>HYPERLINK("https://bluetooth.atlassian.net/browse/ES-11421",11421)</f>
        <v>11421</v>
      </c>
      <c r="B368" s="74" t="s">
        <v>13</v>
      </c>
      <c r="C368" s="74" t="s">
        <v>16</v>
      </c>
      <c r="D368" s="74" t="s">
        <v>305</v>
      </c>
      <c r="E368" s="82" t="s">
        <v>2</v>
      </c>
      <c r="F368" s="74"/>
      <c r="G368" s="74"/>
      <c r="H368" s="75" t="s">
        <v>204</v>
      </c>
      <c r="I368" s="2"/>
      <c r="J368" s="2"/>
      <c r="K368" s="2"/>
    </row>
    <row r="369" spans="1:11" ht="13" x14ac:dyDescent="0.6">
      <c r="A369" s="83">
        <f>HYPERLINK("https://bluetooth.atlassian.net/browse/ES-12348",12348)</f>
        <v>12348</v>
      </c>
      <c r="B369" s="76" t="s">
        <v>48</v>
      </c>
      <c r="C369" s="76" t="s">
        <v>5</v>
      </c>
      <c r="D369" s="76" t="s">
        <v>304</v>
      </c>
      <c r="E369" s="84" t="s">
        <v>2</v>
      </c>
      <c r="F369" s="76"/>
      <c r="G369" s="76"/>
      <c r="H369" s="79" t="s">
        <v>204</v>
      </c>
      <c r="I369" s="2"/>
      <c r="J369" s="2"/>
      <c r="K369" s="2"/>
    </row>
    <row r="370" spans="1:11" ht="13" x14ac:dyDescent="0.6">
      <c r="A370" s="178">
        <f>HYPERLINK("https://bluetooth.atlassian.net/browse/ES-16209",16209)</f>
        <v>16209</v>
      </c>
      <c r="B370" s="176" t="s">
        <v>142</v>
      </c>
      <c r="C370" s="176" t="s">
        <v>346</v>
      </c>
      <c r="D370" s="176" t="s">
        <v>304</v>
      </c>
      <c r="E370" s="177" t="s">
        <v>1</v>
      </c>
      <c r="F370" s="176" t="s">
        <v>534</v>
      </c>
      <c r="G370" s="85" t="str">
        <f>HYPERLINK("https://bluetooth.atlassian.net/browse/ES-16368","16368,")</f>
        <v>16368,</v>
      </c>
      <c r="H370" s="174" t="s">
        <v>1211</v>
      </c>
      <c r="I370" s="2"/>
      <c r="J370" s="2"/>
      <c r="K370" s="2"/>
    </row>
    <row r="371" spans="1:11" ht="13" x14ac:dyDescent="0.6">
      <c r="A371" s="172"/>
      <c r="B371" s="170"/>
      <c r="C371" s="170"/>
      <c r="D371" s="170"/>
      <c r="E371" s="172"/>
      <c r="F371" s="170"/>
      <c r="G371" s="85" t="str">
        <f>HYPERLINK("https://bluetooth.atlassian.net/browse/ES-16369","16369")</f>
        <v>16369</v>
      </c>
      <c r="H371" s="175"/>
      <c r="I371" s="2"/>
      <c r="J371" s="2"/>
      <c r="K371" s="2"/>
    </row>
    <row r="372" spans="1:11" ht="13" x14ac:dyDescent="0.6">
      <c r="A372" s="83">
        <f>HYPERLINK("https://bluetooth.atlassian.net/browse/ES-15461",15461)</f>
        <v>15461</v>
      </c>
      <c r="B372" s="76" t="s">
        <v>142</v>
      </c>
      <c r="C372" s="76" t="s">
        <v>374</v>
      </c>
      <c r="D372" s="76" t="s">
        <v>304</v>
      </c>
      <c r="E372" s="84" t="s">
        <v>2</v>
      </c>
      <c r="F372" s="76"/>
      <c r="G372" s="76"/>
      <c r="H372" s="77"/>
      <c r="I372" s="2"/>
      <c r="J372" s="2"/>
      <c r="K372" s="2"/>
    </row>
    <row r="373" spans="1:11" ht="13" x14ac:dyDescent="0.6">
      <c r="A373" s="81">
        <f>HYPERLINK("https://bluetooth.atlassian.net/browse/ES-15583",15583)</f>
        <v>15583</v>
      </c>
      <c r="B373" s="74" t="s">
        <v>142</v>
      </c>
      <c r="C373" s="74" t="s">
        <v>284</v>
      </c>
      <c r="D373" s="74" t="s">
        <v>304</v>
      </c>
      <c r="E373" s="82" t="s">
        <v>2</v>
      </c>
      <c r="F373" s="74"/>
      <c r="G373" s="74"/>
      <c r="H373" s="75"/>
      <c r="I373" s="2"/>
      <c r="J373" s="2"/>
      <c r="K373" s="2"/>
    </row>
    <row r="374" spans="1:11" ht="13" x14ac:dyDescent="0.6">
      <c r="A374" s="83">
        <f>HYPERLINK("https://bluetooth.atlassian.net/browse/ES-16506 ",16506)</f>
        <v>16506</v>
      </c>
      <c r="B374" s="76" t="s">
        <v>142</v>
      </c>
      <c r="C374" s="76" t="s">
        <v>643</v>
      </c>
      <c r="D374" s="76" t="s">
        <v>304</v>
      </c>
      <c r="E374" s="84" t="s">
        <v>2</v>
      </c>
      <c r="F374" s="76"/>
      <c r="G374" s="76"/>
      <c r="H374" s="77"/>
      <c r="I374" s="2"/>
      <c r="J374" s="2"/>
      <c r="K374" s="2"/>
    </row>
    <row r="375" spans="1:11" ht="26" x14ac:dyDescent="0.6">
      <c r="A375" s="81">
        <f>HYPERLINK("https://bluetooth.atlassian.net/browse/ES-14641",14641)</f>
        <v>14641</v>
      </c>
      <c r="B375" s="74" t="s">
        <v>142</v>
      </c>
      <c r="C375" s="74" t="s">
        <v>494</v>
      </c>
      <c r="D375" s="74" t="s">
        <v>304</v>
      </c>
      <c r="E375" s="82" t="s">
        <v>2</v>
      </c>
      <c r="F375" s="74"/>
      <c r="G375" s="74"/>
      <c r="H375" s="75" t="s">
        <v>204</v>
      </c>
      <c r="I375" s="2"/>
      <c r="J375" s="2"/>
      <c r="K375" s="2"/>
    </row>
    <row r="376" spans="1:11" ht="13" x14ac:dyDescent="0.6">
      <c r="A376" s="83">
        <f>HYPERLINK("https://bluetooth.atlassian.net/browse/ES-15055",15055)</f>
        <v>15055</v>
      </c>
      <c r="B376" s="76" t="s">
        <v>185</v>
      </c>
      <c r="C376" s="76" t="s">
        <v>402</v>
      </c>
      <c r="D376" s="76" t="s">
        <v>304</v>
      </c>
      <c r="E376" s="84" t="s">
        <v>2</v>
      </c>
      <c r="F376" s="76"/>
      <c r="G376" s="76"/>
      <c r="H376" s="77" t="s">
        <v>204</v>
      </c>
      <c r="I376" s="2"/>
      <c r="J376" s="2"/>
      <c r="K376" s="2"/>
    </row>
    <row r="377" spans="1:11" ht="13" x14ac:dyDescent="0.6">
      <c r="A377" s="81">
        <f>HYPERLINK("https://bluetooth.atlassian.net/browse/ES-12187",12187)</f>
        <v>12187</v>
      </c>
      <c r="B377" s="74" t="s">
        <v>36</v>
      </c>
      <c r="C377" s="74" t="s">
        <v>37</v>
      </c>
      <c r="D377" s="74" t="s">
        <v>304</v>
      </c>
      <c r="E377" s="82" t="s">
        <v>2</v>
      </c>
      <c r="F377" s="74"/>
      <c r="G377" s="74"/>
      <c r="H377" s="75" t="s">
        <v>204</v>
      </c>
      <c r="I377" s="2"/>
      <c r="J377" s="2"/>
      <c r="K377" s="2"/>
    </row>
    <row r="378" spans="1:11" ht="13" x14ac:dyDescent="0.6">
      <c r="A378" s="83">
        <f>HYPERLINK("https://bluetooth.atlassian.net/browse/ES-16572 ",16572)</f>
        <v>16572</v>
      </c>
      <c r="B378" s="76" t="s">
        <v>311</v>
      </c>
      <c r="C378" s="76" t="s">
        <v>525</v>
      </c>
      <c r="D378" s="76" t="s">
        <v>304</v>
      </c>
      <c r="E378" s="84" t="s">
        <v>2</v>
      </c>
      <c r="F378" s="76"/>
      <c r="G378" s="76"/>
      <c r="H378" s="77"/>
      <c r="I378" s="2"/>
      <c r="J378" s="2"/>
      <c r="K378" s="2"/>
    </row>
    <row r="379" spans="1:11" ht="13" x14ac:dyDescent="0.6">
      <c r="A379" s="81">
        <f>HYPERLINK("https://bluetooth.atlassian.net/browse/ES-16646 ",16646)</f>
        <v>16646</v>
      </c>
      <c r="B379" s="74" t="s">
        <v>311</v>
      </c>
      <c r="C379" s="74" t="s">
        <v>529</v>
      </c>
      <c r="D379" s="74" t="s">
        <v>304</v>
      </c>
      <c r="E379" s="82" t="s">
        <v>2</v>
      </c>
      <c r="F379" s="74"/>
      <c r="G379" s="74"/>
      <c r="H379" s="75"/>
      <c r="I379" s="2"/>
      <c r="J379" s="2"/>
      <c r="K379" s="2"/>
    </row>
    <row r="380" spans="1:11" ht="13" x14ac:dyDescent="0.6">
      <c r="A380" s="83">
        <f>HYPERLINK("https://bluetooth.atlassian.net/browse/ES-15197",15197)</f>
        <v>15197</v>
      </c>
      <c r="B380" s="76" t="s">
        <v>197</v>
      </c>
      <c r="C380" s="76" t="s">
        <v>198</v>
      </c>
      <c r="D380" s="76" t="s">
        <v>305</v>
      </c>
      <c r="E380" s="84" t="s">
        <v>2</v>
      </c>
      <c r="F380" s="76"/>
      <c r="G380" s="76"/>
      <c r="H380" s="77" t="s">
        <v>204</v>
      </c>
      <c r="I380" s="2"/>
      <c r="J380" s="2"/>
      <c r="K380" s="2"/>
    </row>
    <row r="381" spans="1:11" ht="13" x14ac:dyDescent="0.6">
      <c r="A381" s="81">
        <f>HYPERLINK("https://bluetooth.atlassian.net/browse/ES-12654",12654)</f>
        <v>12654</v>
      </c>
      <c r="B381" s="74" t="s">
        <v>57</v>
      </c>
      <c r="C381" s="74" t="s">
        <v>58</v>
      </c>
      <c r="D381" s="74" t="s">
        <v>304</v>
      </c>
      <c r="E381" s="82" t="s">
        <v>1</v>
      </c>
      <c r="F381" s="74">
        <v>1</v>
      </c>
      <c r="G381" s="87">
        <f>HYPERLINK("https://bluetooth.atlassian.net/browse/ES-12811",12811)</f>
        <v>12811</v>
      </c>
      <c r="H381" s="78" t="s">
        <v>1212</v>
      </c>
      <c r="I381" s="2"/>
      <c r="J381" s="2"/>
      <c r="K381" s="2"/>
    </row>
    <row r="382" spans="1:11" ht="12.95" customHeight="1" x14ac:dyDescent="0.6">
      <c r="A382" s="83">
        <f>HYPERLINK("https://bluetooth.atlassian.net/browse/ES-16404 ",16404)</f>
        <v>16404</v>
      </c>
      <c r="B382" s="76" t="s">
        <v>505</v>
      </c>
      <c r="C382" s="76" t="s">
        <v>504</v>
      </c>
      <c r="D382" s="76" t="s">
        <v>304</v>
      </c>
      <c r="E382" s="84" t="s">
        <v>2</v>
      </c>
      <c r="F382" s="76"/>
      <c r="G382" s="76"/>
      <c r="H382" s="79"/>
      <c r="I382" s="2"/>
      <c r="J382" s="2"/>
      <c r="K382" s="2"/>
    </row>
    <row r="383" spans="1:11" ht="13" x14ac:dyDescent="0.6">
      <c r="A383" s="81">
        <f>HYPERLINK("https://bluetooth.atlassian.net/browse/ES-15547",15547)</f>
        <v>15547</v>
      </c>
      <c r="B383" s="74" t="s">
        <v>279</v>
      </c>
      <c r="C383" s="74" t="s">
        <v>280</v>
      </c>
      <c r="D383" s="74" t="s">
        <v>304</v>
      </c>
      <c r="E383" s="82" t="s">
        <v>2</v>
      </c>
      <c r="F383" s="74"/>
      <c r="G383" s="74"/>
      <c r="H383" s="78"/>
      <c r="I383" s="2"/>
      <c r="J383" s="2"/>
      <c r="K383" s="2"/>
    </row>
    <row r="384" spans="1:11" ht="13" x14ac:dyDescent="0.6">
      <c r="A384" s="83">
        <f>HYPERLINK("https://bluetooth.atlassian.net/browse/ES-13472",13472)</f>
        <v>13472</v>
      </c>
      <c r="B384" s="76" t="s">
        <v>128</v>
      </c>
      <c r="C384" s="76" t="s">
        <v>445</v>
      </c>
      <c r="D384" s="76" t="s">
        <v>304</v>
      </c>
      <c r="E384" s="84" t="s">
        <v>2</v>
      </c>
      <c r="F384" s="76"/>
      <c r="G384" s="76"/>
      <c r="H384" s="79" t="s">
        <v>204</v>
      </c>
      <c r="I384" s="2"/>
      <c r="J384" s="2"/>
      <c r="K384" s="2"/>
    </row>
    <row r="385" spans="1:11" ht="13" x14ac:dyDescent="0.6">
      <c r="A385" s="81">
        <f>HYPERLINK("https://bluetooth.atlassian.net/browse/ES-16989",16989)</f>
        <v>16989</v>
      </c>
      <c r="B385" s="74" t="s">
        <v>128</v>
      </c>
      <c r="C385" s="74" t="s">
        <v>606</v>
      </c>
      <c r="D385" s="74" t="s">
        <v>305</v>
      </c>
      <c r="E385" s="82" t="s">
        <v>2</v>
      </c>
      <c r="F385" s="74"/>
      <c r="G385" s="74"/>
      <c r="H385" s="78"/>
      <c r="I385" s="2"/>
      <c r="J385" s="2"/>
      <c r="K385" s="2"/>
    </row>
    <row r="386" spans="1:11" ht="13" x14ac:dyDescent="0.6">
      <c r="A386" s="83">
        <f>HYPERLINK("https://bluetooth.atlassian.net/browse/ES-13169",13169)</f>
        <v>13169</v>
      </c>
      <c r="B386" s="76" t="s">
        <v>65</v>
      </c>
      <c r="C386" s="76" t="s">
        <v>83</v>
      </c>
      <c r="D386" s="76" t="s">
        <v>305</v>
      </c>
      <c r="E386" s="84" t="s">
        <v>1</v>
      </c>
      <c r="F386" s="76">
        <v>4</v>
      </c>
      <c r="G386" s="88">
        <f>HYPERLINK("https://bluetooth.atlassian.net/browse/ES-15494",15494)</f>
        <v>15494</v>
      </c>
      <c r="H386" s="80" t="s">
        <v>1213</v>
      </c>
      <c r="I386" s="2"/>
      <c r="J386" s="2"/>
      <c r="K386" s="2"/>
    </row>
    <row r="387" spans="1:11" ht="13" x14ac:dyDescent="0.6">
      <c r="A387" s="81">
        <f>HYPERLINK("https://bluetooth.atlassian.net/browse/ES-12247",12247)</f>
        <v>12247</v>
      </c>
      <c r="B387" s="74" t="s">
        <v>39</v>
      </c>
      <c r="C387" s="74" t="s">
        <v>7</v>
      </c>
      <c r="D387" s="74" t="s">
        <v>304</v>
      </c>
      <c r="E387" s="82" t="s">
        <v>2</v>
      </c>
      <c r="F387" s="74"/>
      <c r="G387" s="74"/>
      <c r="H387" s="78" t="s">
        <v>204</v>
      </c>
      <c r="I387" s="2"/>
      <c r="J387" s="2"/>
      <c r="K387" s="2"/>
    </row>
    <row r="388" spans="1:11" ht="13" x14ac:dyDescent="0.6">
      <c r="A388" s="83">
        <f>HYPERLINK("https://bluetooth.atlassian.net/browse/ES-12880",12880)</f>
        <v>12880</v>
      </c>
      <c r="B388" s="76" t="s">
        <v>65</v>
      </c>
      <c r="C388" s="76" t="s">
        <v>473</v>
      </c>
      <c r="D388" s="76" t="s">
        <v>305</v>
      </c>
      <c r="E388" s="84" t="s">
        <v>2</v>
      </c>
      <c r="F388" s="76"/>
      <c r="G388" s="88">
        <f>HYPERLINK("https://bluetooth.atlassian.net/browse/ES-12957",12957)</f>
        <v>12957</v>
      </c>
      <c r="H388" s="79" t="s">
        <v>622</v>
      </c>
      <c r="I388" s="2"/>
      <c r="J388" s="2"/>
      <c r="K388" s="2"/>
    </row>
    <row r="389" spans="1:11" ht="13" x14ac:dyDescent="0.6">
      <c r="A389" s="81">
        <f>HYPERLINK("https://bluetooth.atlassian.net/browse/ES-13265",13265)</f>
        <v>13265</v>
      </c>
      <c r="B389" s="74" t="s">
        <v>109</v>
      </c>
      <c r="C389" s="74" t="s">
        <v>492</v>
      </c>
      <c r="D389" s="74" t="s">
        <v>305</v>
      </c>
      <c r="E389" s="82" t="s">
        <v>1</v>
      </c>
      <c r="F389" s="74">
        <v>4</v>
      </c>
      <c r="G389" s="87">
        <f>HYPERLINK("https://bluetooth.atlassian.net/browse/ES-13266",13266)</f>
        <v>13266</v>
      </c>
      <c r="H389" s="78" t="s">
        <v>1214</v>
      </c>
      <c r="I389" s="2"/>
      <c r="J389" s="2"/>
      <c r="K389" s="2"/>
    </row>
    <row r="390" spans="1:11" ht="13" x14ac:dyDescent="0.6">
      <c r="A390" s="83">
        <f>HYPERLINK("https://bluetooth.atlassian.net/browse/ES-15215",15215)</f>
        <v>15215</v>
      </c>
      <c r="B390" s="76" t="s">
        <v>201</v>
      </c>
      <c r="C390" s="76" t="s">
        <v>202</v>
      </c>
      <c r="D390" s="76" t="s">
        <v>304</v>
      </c>
      <c r="E390" s="84" t="s">
        <v>2</v>
      </c>
      <c r="F390" s="76"/>
      <c r="G390" s="76"/>
      <c r="H390" s="77" t="s">
        <v>204</v>
      </c>
      <c r="I390" s="2"/>
      <c r="J390" s="2"/>
      <c r="K390" s="2"/>
    </row>
    <row r="391" spans="1:11" ht="12.95" customHeight="1" x14ac:dyDescent="0.6">
      <c r="A391" s="81">
        <f>HYPERLINK("https://bluetooth.atlassian.net/browse/ES-13408",13408)</f>
        <v>13408</v>
      </c>
      <c r="B391" s="74" t="s">
        <v>109</v>
      </c>
      <c r="C391" s="74" t="s">
        <v>449</v>
      </c>
      <c r="D391" s="74" t="s">
        <v>305</v>
      </c>
      <c r="E391" s="82" t="s">
        <v>2</v>
      </c>
      <c r="F391" s="74"/>
      <c r="G391" s="87">
        <f>HYPERLINK("https://bluetooth.atlassian.net/browse/ES-13539",13539)</f>
        <v>13539</v>
      </c>
      <c r="H391" s="75" t="s">
        <v>623</v>
      </c>
      <c r="I391" s="2"/>
      <c r="J391" s="2"/>
      <c r="K391" s="2"/>
    </row>
    <row r="392" spans="1:11" ht="26" x14ac:dyDescent="0.6">
      <c r="A392" s="83">
        <f>HYPERLINK("https://bluetooth.atlassian.net/browse/ES-13450",13450)</f>
        <v>13450</v>
      </c>
      <c r="B392" s="76" t="s">
        <v>109</v>
      </c>
      <c r="C392" s="76" t="s">
        <v>446</v>
      </c>
      <c r="D392" s="76" t="s">
        <v>305</v>
      </c>
      <c r="E392" s="84" t="s">
        <v>2</v>
      </c>
      <c r="F392" s="76"/>
      <c r="G392" s="76"/>
      <c r="H392" s="77" t="s">
        <v>204</v>
      </c>
      <c r="I392" s="2"/>
      <c r="J392" s="2"/>
      <c r="K392" s="2"/>
    </row>
    <row r="393" spans="1:11" ht="13" x14ac:dyDescent="0.6">
      <c r="A393" s="81">
        <f>HYPERLINK("https://bluetooth.atlassian.net/browse/ES-15549",15549)</f>
        <v>15549</v>
      </c>
      <c r="B393" s="74" t="s">
        <v>109</v>
      </c>
      <c r="C393" s="74" t="s">
        <v>368</v>
      </c>
      <c r="D393" s="74" t="s">
        <v>305</v>
      </c>
      <c r="E393" s="82" t="s">
        <v>2</v>
      </c>
      <c r="F393" s="74"/>
      <c r="G393" s="74"/>
      <c r="H393" s="75"/>
      <c r="I393" s="2"/>
      <c r="J393" s="2"/>
      <c r="K393" s="2"/>
    </row>
    <row r="394" spans="1:11" ht="12.95" customHeight="1" x14ac:dyDescent="0.6">
      <c r="A394" s="83">
        <f>HYPERLINK("https://bluetooth.atlassian.net/browse/ES-15642",15642)</f>
        <v>15642</v>
      </c>
      <c r="B394" s="76" t="s">
        <v>109</v>
      </c>
      <c r="C394" s="76" t="s">
        <v>365</v>
      </c>
      <c r="D394" s="76" t="s">
        <v>305</v>
      </c>
      <c r="E394" s="84" t="s">
        <v>2</v>
      </c>
      <c r="F394" s="76"/>
      <c r="G394" s="76"/>
      <c r="H394" s="77"/>
      <c r="I394" s="2"/>
      <c r="J394" s="2"/>
      <c r="K394" s="2"/>
    </row>
    <row r="395" spans="1:11" ht="13" x14ac:dyDescent="0.6">
      <c r="A395" s="81">
        <f>HYPERLINK("https://bluetooth.atlassian.net/browse/ES-15668",15668)</f>
        <v>15668</v>
      </c>
      <c r="B395" s="74" t="s">
        <v>109</v>
      </c>
      <c r="C395" s="74" t="s">
        <v>363</v>
      </c>
      <c r="D395" s="74" t="s">
        <v>305</v>
      </c>
      <c r="E395" s="82" t="s">
        <v>2</v>
      </c>
      <c r="F395" s="74"/>
      <c r="G395" s="74"/>
      <c r="H395" s="75"/>
      <c r="I395" s="2"/>
      <c r="J395" s="2"/>
      <c r="K395" s="2"/>
    </row>
    <row r="396" spans="1:11" ht="26" x14ac:dyDescent="0.6">
      <c r="A396" s="83">
        <f>HYPERLINK("https://bluetooth.atlassian.net/browse/ES-15671",15671)</f>
        <v>15671</v>
      </c>
      <c r="B396" s="76" t="s">
        <v>109</v>
      </c>
      <c r="C396" s="76" t="s">
        <v>361</v>
      </c>
      <c r="D396" s="76" t="s">
        <v>305</v>
      </c>
      <c r="E396" s="84" t="s">
        <v>2</v>
      </c>
      <c r="F396" s="76"/>
      <c r="G396" s="76"/>
      <c r="H396" s="77"/>
      <c r="I396" s="2"/>
      <c r="J396" s="2"/>
      <c r="K396" s="2"/>
    </row>
    <row r="397" spans="1:11" ht="13" x14ac:dyDescent="0.6">
      <c r="A397" s="81">
        <f>HYPERLINK("https://bluetooth.atlassian.net/browse/ES-14708",14708)</f>
        <v>14708</v>
      </c>
      <c r="B397" s="74" t="s">
        <v>153</v>
      </c>
      <c r="C397" s="74" t="s">
        <v>154</v>
      </c>
      <c r="D397" s="74" t="s">
        <v>304</v>
      </c>
      <c r="E397" s="82" t="s">
        <v>2</v>
      </c>
      <c r="F397" s="74"/>
      <c r="G397" s="74"/>
      <c r="H397" s="75" t="s">
        <v>204</v>
      </c>
      <c r="I397" s="2"/>
      <c r="J397" s="2"/>
      <c r="K397" s="2"/>
    </row>
    <row r="398" spans="1:11" ht="12.95" customHeight="1" x14ac:dyDescent="0.6">
      <c r="A398" s="83">
        <f>HYPERLINK("https://bluetooth.atlassian.net/browse/ES-15555",15555)</f>
        <v>15555</v>
      </c>
      <c r="B398" s="76" t="s">
        <v>586</v>
      </c>
      <c r="C398" s="76" t="s">
        <v>600</v>
      </c>
      <c r="D398" s="76" t="s">
        <v>307</v>
      </c>
      <c r="E398" s="84" t="s">
        <v>1</v>
      </c>
      <c r="F398" s="76">
        <v>3</v>
      </c>
      <c r="G398" s="88">
        <f>HYPERLINK("https://bluetooth.atlassian.net/browse/ES-15609",15609)</f>
        <v>15609</v>
      </c>
      <c r="H398" s="80" t="s">
        <v>1215</v>
      </c>
      <c r="I398" s="2"/>
      <c r="J398" s="2"/>
      <c r="K398" s="2"/>
    </row>
    <row r="399" spans="1:11" ht="13" x14ac:dyDescent="0.6">
      <c r="A399" s="81">
        <f>HYPERLINK("https://bluetooth.atlassian.net/browse/ES-14965",14965)</f>
        <v>14965</v>
      </c>
      <c r="B399" s="74" t="s">
        <v>586</v>
      </c>
      <c r="C399" s="74" t="s">
        <v>174</v>
      </c>
      <c r="D399" s="74" t="s">
        <v>304</v>
      </c>
      <c r="E399" s="82" t="s">
        <v>2</v>
      </c>
      <c r="F399" s="74"/>
      <c r="G399" s="74"/>
      <c r="H399" s="78" t="s">
        <v>204</v>
      </c>
      <c r="I399" s="2"/>
      <c r="J399" s="2"/>
      <c r="K399" s="2"/>
    </row>
    <row r="400" spans="1:11" ht="13" x14ac:dyDescent="0.6">
      <c r="A400" s="83">
        <f>HYPERLINK("https://bluetooth.atlassian.net/browse/ES-16305 ",16305)</f>
        <v>16305</v>
      </c>
      <c r="B400" s="76" t="s">
        <v>586</v>
      </c>
      <c r="C400" s="76" t="s">
        <v>498</v>
      </c>
      <c r="D400" s="76" t="s">
        <v>304</v>
      </c>
      <c r="E400" s="84" t="s">
        <v>2</v>
      </c>
      <c r="F400" s="76"/>
      <c r="G400" s="76"/>
      <c r="H400" s="79"/>
      <c r="I400" s="2"/>
      <c r="J400" s="2"/>
      <c r="K400" s="2"/>
    </row>
    <row r="401" spans="1:11" ht="13" x14ac:dyDescent="0.6">
      <c r="A401" s="81">
        <f>HYPERLINK("https://bluetooth.atlassian.net/browse/ES-13276",13276)</f>
        <v>13276</v>
      </c>
      <c r="B401" s="74" t="s">
        <v>586</v>
      </c>
      <c r="C401" s="74" t="s">
        <v>493</v>
      </c>
      <c r="D401" s="74" t="s">
        <v>305</v>
      </c>
      <c r="E401" s="82" t="s">
        <v>2</v>
      </c>
      <c r="F401" s="74"/>
      <c r="G401" s="74"/>
      <c r="H401" s="78" t="s">
        <v>204</v>
      </c>
      <c r="I401" s="2"/>
      <c r="J401" s="2"/>
      <c r="K401" s="2"/>
    </row>
    <row r="402" spans="1:11" ht="11.25" customHeight="1" x14ac:dyDescent="0.6">
      <c r="A402" s="83">
        <f>HYPERLINK("https://bluetooth.atlassian.net/browse/ES-14964",14964)</f>
        <v>14964</v>
      </c>
      <c r="B402" s="76" t="s">
        <v>586</v>
      </c>
      <c r="C402" s="76" t="s">
        <v>411</v>
      </c>
      <c r="D402" s="76" t="s">
        <v>307</v>
      </c>
      <c r="E402" s="84" t="s">
        <v>2</v>
      </c>
      <c r="F402" s="76"/>
      <c r="G402" s="76"/>
      <c r="H402" s="79" t="s">
        <v>204</v>
      </c>
      <c r="I402" s="2"/>
      <c r="J402" s="2"/>
      <c r="K402" s="2"/>
    </row>
    <row r="403" spans="1:11" ht="13" x14ac:dyDescent="0.6">
      <c r="A403" s="81">
        <f>HYPERLINK("https://bluetooth.atlassian.net/browse/ES-14646",14646)</f>
        <v>14646</v>
      </c>
      <c r="B403" s="74" t="s">
        <v>634</v>
      </c>
      <c r="C403" s="74" t="s">
        <v>540</v>
      </c>
      <c r="D403" s="74" t="s">
        <v>304</v>
      </c>
      <c r="E403" s="82" t="s">
        <v>1</v>
      </c>
      <c r="F403" s="74">
        <v>1</v>
      </c>
      <c r="G403" s="85">
        <f>HYPERLINK("https://bluetooth.atlassian.net/browse/ES-14648",14648)</f>
        <v>14648</v>
      </c>
      <c r="H403" s="78" t="s">
        <v>1216</v>
      </c>
      <c r="I403" s="2"/>
      <c r="J403" s="2"/>
      <c r="K403" s="2"/>
    </row>
    <row r="404" spans="1:11" ht="13" x14ac:dyDescent="0.6">
      <c r="A404" s="83">
        <f>HYPERLINK("https://bluetooth.atlassian.net/browse/ES-12599",12599)</f>
        <v>12599</v>
      </c>
      <c r="B404" s="76" t="s">
        <v>634</v>
      </c>
      <c r="C404" s="76" t="s">
        <v>54</v>
      </c>
      <c r="D404" s="76" t="s">
        <v>304</v>
      </c>
      <c r="E404" s="84" t="s">
        <v>1</v>
      </c>
      <c r="F404" s="76">
        <v>1</v>
      </c>
      <c r="G404" s="88">
        <f>HYPERLINK("https://bluetooth.atlassian.net/browse/ES-12882",12882)</f>
        <v>12882</v>
      </c>
      <c r="H404" s="79" t="s">
        <v>1217</v>
      </c>
      <c r="I404" s="2"/>
      <c r="J404" s="2"/>
      <c r="K404" s="2"/>
    </row>
    <row r="405" spans="1:11" ht="13" x14ac:dyDescent="0.6">
      <c r="A405" s="81">
        <f>HYPERLINK("https://bluetooth.atlassian.net/browse/ES-12664",12664)</f>
        <v>12664</v>
      </c>
      <c r="B405" s="74" t="s">
        <v>634</v>
      </c>
      <c r="C405" s="74" t="s">
        <v>59</v>
      </c>
      <c r="D405" s="74" t="s">
        <v>304</v>
      </c>
      <c r="E405" s="82" t="s">
        <v>1</v>
      </c>
      <c r="F405" s="74">
        <v>1</v>
      </c>
      <c r="G405" s="87">
        <f>HYPERLINK("https://bluetooth.atlassian.net/browse/ES-12896",12896)</f>
        <v>12896</v>
      </c>
      <c r="H405" s="78" t="s">
        <v>1218</v>
      </c>
      <c r="I405" s="2"/>
      <c r="J405" s="2"/>
      <c r="K405" s="2"/>
    </row>
    <row r="406" spans="1:11" ht="13" x14ac:dyDescent="0.6">
      <c r="A406" s="83">
        <f>HYPERLINK("https://bluetooth.atlassian.net/browse/ES-13186",13186)</f>
        <v>13186</v>
      </c>
      <c r="B406" s="76" t="s">
        <v>634</v>
      </c>
      <c r="C406" s="76" t="s">
        <v>92</v>
      </c>
      <c r="D406" s="76" t="s">
        <v>304</v>
      </c>
      <c r="E406" s="84" t="s">
        <v>1</v>
      </c>
      <c r="F406" s="76">
        <v>1</v>
      </c>
      <c r="G406" s="88">
        <f>HYPERLINK("https://bluetooth.atlassian.net/browse/ES-14659",14659)</f>
        <v>14659</v>
      </c>
      <c r="H406" s="79" t="s">
        <v>1219</v>
      </c>
      <c r="I406" s="2"/>
      <c r="J406" s="2"/>
      <c r="K406" s="2"/>
    </row>
    <row r="407" spans="1:11" ht="13" x14ac:dyDescent="0.6">
      <c r="A407" s="81">
        <f>HYPERLINK("https://bluetooth.atlassian.net/browse/ES-15837",15837)</f>
        <v>15837</v>
      </c>
      <c r="B407" s="74" t="s">
        <v>634</v>
      </c>
      <c r="C407" s="74" t="s">
        <v>562</v>
      </c>
      <c r="D407" s="74" t="s">
        <v>304</v>
      </c>
      <c r="E407" s="82" t="s">
        <v>1</v>
      </c>
      <c r="F407" s="74">
        <v>1</v>
      </c>
      <c r="G407" s="87">
        <f>HYPERLINK("https://bluetooth.atlassian.net/browse/ES-16022",16022)</f>
        <v>16022</v>
      </c>
      <c r="H407" s="78" t="s">
        <v>1220</v>
      </c>
      <c r="I407" s="2"/>
      <c r="J407" s="2"/>
      <c r="K407" s="2"/>
    </row>
    <row r="408" spans="1:11" ht="13" x14ac:dyDescent="0.6">
      <c r="A408" s="173">
        <f>HYPERLINK("https://bluetooth.atlassian.net/browse/ES-12596",12596)</f>
        <v>12596</v>
      </c>
      <c r="B408" s="169" t="s">
        <v>634</v>
      </c>
      <c r="C408" s="169" t="s">
        <v>53</v>
      </c>
      <c r="D408" s="169" t="s">
        <v>304</v>
      </c>
      <c r="E408" s="171" t="s">
        <v>1</v>
      </c>
      <c r="F408" s="169" t="s">
        <v>298</v>
      </c>
      <c r="G408" s="89" t="str">
        <f>HYPERLINK("https://bluetooth.atlassian.net/browse/ES-12856","12856,")</f>
        <v>12856,</v>
      </c>
      <c r="H408" s="175" t="s">
        <v>1221</v>
      </c>
      <c r="I408" s="2"/>
      <c r="J408" s="2"/>
      <c r="K408" s="2"/>
    </row>
    <row r="409" spans="1:11" ht="13" x14ac:dyDescent="0.6">
      <c r="A409" s="172"/>
      <c r="B409" s="170"/>
      <c r="C409" s="170"/>
      <c r="D409" s="170"/>
      <c r="E409" s="172"/>
      <c r="F409" s="170"/>
      <c r="G409" s="89">
        <f>HYPERLINK("https://bluetooth.atlassian.net/browse/ES-12857",12857)</f>
        <v>12857</v>
      </c>
      <c r="H409" s="175"/>
      <c r="I409" s="2"/>
      <c r="J409" s="2"/>
      <c r="K409" s="2"/>
    </row>
    <row r="410" spans="1:11" ht="13" x14ac:dyDescent="0.6">
      <c r="A410" s="178">
        <f>HYPERLINK("https://bluetooth.atlassian.net/browse/ES-13473",13473)</f>
        <v>13473</v>
      </c>
      <c r="B410" s="176" t="s">
        <v>634</v>
      </c>
      <c r="C410" s="176" t="s">
        <v>541</v>
      </c>
      <c r="D410" s="176" t="s">
        <v>304</v>
      </c>
      <c r="E410" s="177" t="s">
        <v>1</v>
      </c>
      <c r="F410" s="176" t="s">
        <v>298</v>
      </c>
      <c r="G410" s="85" t="str">
        <f>HYPERLINK("https://bluetooth.atlassian.net/browse/ES-14985","14985,")</f>
        <v>14985,</v>
      </c>
      <c r="H410" s="174" t="s">
        <v>1222</v>
      </c>
      <c r="I410" s="2"/>
      <c r="J410" s="2"/>
      <c r="K410" s="2"/>
    </row>
    <row r="411" spans="1:11" ht="13" x14ac:dyDescent="0.6">
      <c r="A411" s="172"/>
      <c r="B411" s="170"/>
      <c r="C411" s="170"/>
      <c r="D411" s="170"/>
      <c r="E411" s="172"/>
      <c r="F411" s="170"/>
      <c r="G411" s="85" t="str">
        <f>HYPERLINK("https://bluetooth.atlassian.net/browse/ES-14986","14986")</f>
        <v>14986</v>
      </c>
      <c r="H411" s="175"/>
      <c r="I411" s="2"/>
      <c r="J411" s="2"/>
      <c r="K411" s="2"/>
    </row>
    <row r="412" spans="1:11" ht="13" x14ac:dyDescent="0.6">
      <c r="A412" s="173">
        <f>HYPERLINK("https://bluetooth.atlassian.net/browse/ES-15428",15428)</f>
        <v>15428</v>
      </c>
      <c r="B412" s="169" t="s">
        <v>634</v>
      </c>
      <c r="C412" s="169" t="s">
        <v>241</v>
      </c>
      <c r="D412" s="169" t="s">
        <v>304</v>
      </c>
      <c r="E412" s="171" t="s">
        <v>1</v>
      </c>
      <c r="F412" s="169" t="s">
        <v>298</v>
      </c>
      <c r="G412" s="89" t="str">
        <f>HYPERLINK("https://bluetooth.atlassian.net/browse/ES-15490","15490,")</f>
        <v>15490,</v>
      </c>
      <c r="H412" s="175" t="s">
        <v>1223</v>
      </c>
      <c r="I412" s="2"/>
      <c r="J412" s="2"/>
      <c r="K412" s="2"/>
    </row>
    <row r="413" spans="1:11" ht="13" x14ac:dyDescent="0.6">
      <c r="A413" s="172"/>
      <c r="B413" s="170"/>
      <c r="C413" s="170"/>
      <c r="D413" s="170"/>
      <c r="E413" s="172"/>
      <c r="F413" s="170"/>
      <c r="G413" s="89" t="str">
        <f>HYPERLINK("https://bluetooth.atlassian.net/browse/ES-15491","15491")</f>
        <v>15491</v>
      </c>
      <c r="H413" s="175"/>
      <c r="I413" s="2"/>
      <c r="J413" s="2"/>
      <c r="K413" s="2"/>
    </row>
    <row r="414" spans="1:11" ht="13" x14ac:dyDescent="0.6">
      <c r="A414" s="81">
        <f>HYPERLINK("https://bluetooth.atlassian.net/browse/ES-10419",10419)</f>
        <v>10419</v>
      </c>
      <c r="B414" s="74" t="s">
        <v>635</v>
      </c>
      <c r="C414" s="74" t="s">
        <v>10</v>
      </c>
      <c r="D414" s="74" t="s">
        <v>304</v>
      </c>
      <c r="E414" s="82" t="s">
        <v>2</v>
      </c>
      <c r="F414" s="74"/>
      <c r="G414" s="74"/>
      <c r="H414" s="75"/>
      <c r="I414" s="2"/>
      <c r="J414" s="2"/>
      <c r="K414" s="2"/>
    </row>
    <row r="415" spans="1:11" ht="13" x14ac:dyDescent="0.6">
      <c r="A415" s="83">
        <f>HYPERLINK("https://bluetooth.atlassian.net/browse/ES-11988",11988)</f>
        <v>11988</v>
      </c>
      <c r="B415" s="76" t="s">
        <v>635</v>
      </c>
      <c r="C415" s="76" t="s">
        <v>32</v>
      </c>
      <c r="D415" s="76" t="s">
        <v>304</v>
      </c>
      <c r="E415" s="84" t="s">
        <v>2</v>
      </c>
      <c r="F415" s="76"/>
      <c r="G415" s="76"/>
      <c r="H415" s="77" t="s">
        <v>204</v>
      </c>
      <c r="I415" s="2"/>
      <c r="J415" s="2"/>
      <c r="K415" s="2"/>
    </row>
    <row r="416" spans="1:11" ht="13" x14ac:dyDescent="0.6">
      <c r="A416" s="81">
        <f>HYPERLINK("https://bluetooth.atlassian.net/browse/ES-15281",15281)</f>
        <v>15281</v>
      </c>
      <c r="B416" s="74" t="s">
        <v>634</v>
      </c>
      <c r="C416" s="74" t="s">
        <v>209</v>
      </c>
      <c r="D416" s="74" t="s">
        <v>304</v>
      </c>
      <c r="E416" s="82" t="s">
        <v>2</v>
      </c>
      <c r="F416" s="74"/>
      <c r="G416" s="74"/>
      <c r="H416" s="75"/>
      <c r="I416" s="2"/>
      <c r="J416" s="2"/>
      <c r="K416" s="2"/>
    </row>
    <row r="417" spans="1:11" ht="13" x14ac:dyDescent="0.6">
      <c r="A417" s="83">
        <f>HYPERLINK("https://bluetooth.atlassian.net/browse/ES-15304",15304)</f>
        <v>15304</v>
      </c>
      <c r="B417" s="76" t="s">
        <v>634</v>
      </c>
      <c r="C417" s="76" t="s">
        <v>214</v>
      </c>
      <c r="D417" s="76" t="s">
        <v>304</v>
      </c>
      <c r="E417" s="84" t="s">
        <v>2</v>
      </c>
      <c r="F417" s="76"/>
      <c r="G417" s="76"/>
      <c r="H417" s="77"/>
      <c r="I417" s="2"/>
      <c r="J417" s="2"/>
      <c r="K417" s="2"/>
    </row>
    <row r="418" spans="1:11" ht="13" x14ac:dyDescent="0.6">
      <c r="A418" s="81">
        <f>HYPERLINK("https://bluetooth.atlassian.net/browse/ES-10419 ",10419)</f>
        <v>10419</v>
      </c>
      <c r="B418" s="74" t="s">
        <v>634</v>
      </c>
      <c r="C418" s="74" t="s">
        <v>10</v>
      </c>
      <c r="D418" s="74" t="s">
        <v>304</v>
      </c>
      <c r="E418" s="82" t="s">
        <v>2</v>
      </c>
      <c r="F418" s="74"/>
      <c r="G418" s="74"/>
      <c r="H418" s="75"/>
      <c r="I418" s="2"/>
      <c r="J418" s="2"/>
      <c r="K418" s="2"/>
    </row>
    <row r="419" spans="1:11" ht="13" x14ac:dyDescent="0.6">
      <c r="A419" s="83">
        <f>HYPERLINK("https://bluetooth.atlassian.net/browse/ES-11668",11668)</f>
        <v>11668</v>
      </c>
      <c r="B419" s="76" t="s">
        <v>635</v>
      </c>
      <c r="C419" s="76" t="s">
        <v>543</v>
      </c>
      <c r="D419" s="76" t="s">
        <v>304</v>
      </c>
      <c r="E419" s="84" t="s">
        <v>2</v>
      </c>
      <c r="F419" s="76"/>
      <c r="G419" s="76"/>
      <c r="H419" s="77" t="s">
        <v>204</v>
      </c>
      <c r="I419" s="2"/>
      <c r="J419" s="2"/>
      <c r="K419" s="2"/>
    </row>
    <row r="420" spans="1:11" ht="13" x14ac:dyDescent="0.6">
      <c r="A420" s="81">
        <f>HYPERLINK("https://bluetooth.atlassian.net/browse/ES-11695",11695)</f>
        <v>11695</v>
      </c>
      <c r="B420" s="74" t="s">
        <v>635</v>
      </c>
      <c r="C420" s="74" t="s">
        <v>18</v>
      </c>
      <c r="D420" s="74" t="s">
        <v>304</v>
      </c>
      <c r="E420" s="82" t="s">
        <v>2</v>
      </c>
      <c r="F420" s="74"/>
      <c r="G420" s="74"/>
      <c r="H420" s="75" t="s">
        <v>204</v>
      </c>
      <c r="I420" s="2"/>
      <c r="J420" s="2"/>
      <c r="K420" s="2"/>
    </row>
    <row r="421" spans="1:11" ht="13" x14ac:dyDescent="0.6">
      <c r="A421" s="83">
        <f>HYPERLINK("https://bluetooth.atlassian.net/browse/ES-11747",11747)</f>
        <v>11747</v>
      </c>
      <c r="B421" s="76" t="s">
        <v>635</v>
      </c>
      <c r="C421" s="76" t="s">
        <v>21</v>
      </c>
      <c r="D421" s="76" t="s">
        <v>304</v>
      </c>
      <c r="E421" s="84" t="s">
        <v>2</v>
      </c>
      <c r="F421" s="76"/>
      <c r="G421" s="76"/>
      <c r="H421" s="77"/>
      <c r="I421" s="2"/>
      <c r="J421" s="2"/>
      <c r="K421" s="2"/>
    </row>
    <row r="422" spans="1:11" ht="13" x14ac:dyDescent="0.6">
      <c r="A422" s="81">
        <f>HYPERLINK("https://bluetooth.atlassian.net/browse/ES-11751",11751)</f>
        <v>11751</v>
      </c>
      <c r="B422" s="74" t="s">
        <v>635</v>
      </c>
      <c r="C422" s="74" t="s">
        <v>23</v>
      </c>
      <c r="D422" s="74" t="s">
        <v>304</v>
      </c>
      <c r="E422" s="82" t="s">
        <v>2</v>
      </c>
      <c r="F422" s="74"/>
      <c r="G422" s="74"/>
      <c r="H422" s="75" t="s">
        <v>204</v>
      </c>
      <c r="I422" s="2"/>
      <c r="J422" s="2"/>
      <c r="K422" s="2"/>
    </row>
    <row r="423" spans="1:11" ht="13" x14ac:dyDescent="0.6">
      <c r="A423" s="83">
        <f>HYPERLINK("https://bluetooth.atlassian.net/browse/ES-11764",11764)</f>
        <v>11764</v>
      </c>
      <c r="B423" s="76" t="s">
        <v>635</v>
      </c>
      <c r="C423" s="76" t="s">
        <v>25</v>
      </c>
      <c r="D423" s="76" t="s">
        <v>304</v>
      </c>
      <c r="E423" s="84" t="s">
        <v>2</v>
      </c>
      <c r="F423" s="76"/>
      <c r="G423" s="76"/>
      <c r="H423" s="77" t="s">
        <v>204</v>
      </c>
      <c r="I423" s="2"/>
      <c r="J423" s="2"/>
      <c r="K423" s="2"/>
    </row>
    <row r="424" spans="1:11" ht="13" x14ac:dyDescent="0.6">
      <c r="A424" s="81">
        <f>HYPERLINK("https://bluetooth.atlassian.net/browse/ES-11895",11895)</f>
        <v>11895</v>
      </c>
      <c r="B424" s="74" t="s">
        <v>635</v>
      </c>
      <c r="C424" s="74" t="s">
        <v>27</v>
      </c>
      <c r="D424" s="74" t="s">
        <v>304</v>
      </c>
      <c r="E424" s="82" t="s">
        <v>2</v>
      </c>
      <c r="F424" s="74"/>
      <c r="G424" s="74"/>
      <c r="H424" s="75" t="s">
        <v>204</v>
      </c>
      <c r="I424" s="2"/>
      <c r="J424" s="2"/>
      <c r="K424" s="2"/>
    </row>
    <row r="425" spans="1:11" ht="13" x14ac:dyDescent="0.6">
      <c r="A425" s="83">
        <f>HYPERLINK("https://bluetooth.atlassian.net/browse/ES-12068",12068)</f>
        <v>12068</v>
      </c>
      <c r="B425" s="76" t="s">
        <v>635</v>
      </c>
      <c r="C425" s="76" t="s">
        <v>536</v>
      </c>
      <c r="D425" s="76" t="s">
        <v>304</v>
      </c>
      <c r="E425" s="84" t="s">
        <v>2</v>
      </c>
      <c r="F425" s="76"/>
      <c r="G425" s="76"/>
      <c r="H425" s="77" t="s">
        <v>204</v>
      </c>
      <c r="I425" s="2"/>
      <c r="J425" s="2"/>
      <c r="K425" s="2"/>
    </row>
    <row r="426" spans="1:11" ht="13" x14ac:dyDescent="0.6">
      <c r="A426" s="81">
        <f>HYPERLINK("https://bluetooth.atlassian.net/browse/ES-12253",12253)</f>
        <v>12253</v>
      </c>
      <c r="B426" s="74" t="s">
        <v>634</v>
      </c>
      <c r="C426" s="74" t="s">
        <v>42</v>
      </c>
      <c r="D426" s="74" t="s">
        <v>304</v>
      </c>
      <c r="E426" s="82" t="s">
        <v>2</v>
      </c>
      <c r="F426" s="74"/>
      <c r="G426" s="74"/>
      <c r="H426" s="75" t="s">
        <v>204</v>
      </c>
      <c r="I426" s="2"/>
      <c r="J426" s="2"/>
      <c r="K426" s="2"/>
    </row>
    <row r="427" spans="1:11" ht="13" x14ac:dyDescent="0.6">
      <c r="A427" s="83">
        <f>HYPERLINK("https://bluetooth.atlassian.net/browse/ES-12313",12313)</f>
        <v>12313</v>
      </c>
      <c r="B427" s="76" t="s">
        <v>635</v>
      </c>
      <c r="C427" s="76" t="s">
        <v>43</v>
      </c>
      <c r="D427" s="76" t="s">
        <v>304</v>
      </c>
      <c r="E427" s="84" t="s">
        <v>2</v>
      </c>
      <c r="F427" s="76"/>
      <c r="G427" s="76"/>
      <c r="H427" s="77" t="s">
        <v>204</v>
      </c>
      <c r="I427" s="2"/>
      <c r="J427" s="2"/>
      <c r="K427" s="2"/>
    </row>
    <row r="428" spans="1:11" ht="13" x14ac:dyDescent="0.6">
      <c r="A428" s="81">
        <f>HYPERLINK("https://bluetooth.atlassian.net/browse/ES-12589",12589)</f>
        <v>12589</v>
      </c>
      <c r="B428" s="74" t="s">
        <v>634</v>
      </c>
      <c r="C428" s="74" t="s">
        <v>52</v>
      </c>
      <c r="D428" s="74" t="s">
        <v>304</v>
      </c>
      <c r="E428" s="82" t="s">
        <v>2</v>
      </c>
      <c r="F428" s="74"/>
      <c r="G428" s="74"/>
      <c r="H428" s="75" t="s">
        <v>204</v>
      </c>
      <c r="I428" s="2"/>
      <c r="J428" s="2"/>
      <c r="K428" s="2"/>
    </row>
    <row r="429" spans="1:11" ht="13" x14ac:dyDescent="0.6">
      <c r="A429" s="83">
        <f>HYPERLINK("https://bluetooth.atlassian.net/browse/ES-12598",12598)</f>
        <v>12598</v>
      </c>
      <c r="B429" s="76" t="s">
        <v>634</v>
      </c>
      <c r="C429" s="76" t="s">
        <v>539</v>
      </c>
      <c r="D429" s="76" t="s">
        <v>304</v>
      </c>
      <c r="E429" s="84" t="s">
        <v>2</v>
      </c>
      <c r="F429" s="76"/>
      <c r="G429" s="76"/>
      <c r="H429" s="77" t="s">
        <v>204</v>
      </c>
      <c r="I429" s="2"/>
      <c r="J429" s="2"/>
      <c r="K429" s="2"/>
    </row>
    <row r="430" spans="1:11" ht="13" x14ac:dyDescent="0.6">
      <c r="A430" s="81">
        <f>HYPERLINK("https://bluetooth.atlassian.net/browse/ES-12604",12604)</f>
        <v>12604</v>
      </c>
      <c r="B430" s="74" t="s">
        <v>634</v>
      </c>
      <c r="C430" s="74" t="s">
        <v>55</v>
      </c>
      <c r="D430" s="74" t="s">
        <v>304</v>
      </c>
      <c r="E430" s="82" t="s">
        <v>2</v>
      </c>
      <c r="F430" s="74"/>
      <c r="G430" s="74"/>
      <c r="H430" s="75" t="s">
        <v>204</v>
      </c>
      <c r="I430" s="2"/>
      <c r="J430" s="2"/>
      <c r="K430" s="2"/>
    </row>
    <row r="431" spans="1:11" ht="13" x14ac:dyDescent="0.6">
      <c r="A431" s="83">
        <f>HYPERLINK("https://bluetooth.atlassian.net/browse/ES-12713",12713)</f>
        <v>12713</v>
      </c>
      <c r="B431" s="76" t="s">
        <v>634</v>
      </c>
      <c r="C431" s="76" t="s">
        <v>60</v>
      </c>
      <c r="D431" s="76" t="s">
        <v>304</v>
      </c>
      <c r="E431" s="84" t="s">
        <v>2</v>
      </c>
      <c r="F431" s="76"/>
      <c r="G431" s="76"/>
      <c r="H431" s="77" t="s">
        <v>204</v>
      </c>
      <c r="I431" s="2"/>
      <c r="J431" s="2"/>
      <c r="K431" s="2"/>
    </row>
    <row r="432" spans="1:11" ht="13" x14ac:dyDescent="0.6">
      <c r="A432" s="81">
        <f>HYPERLINK("https://bluetooth.atlassian.net/browse/ES-12720",12720)</f>
        <v>12720</v>
      </c>
      <c r="B432" s="74" t="s">
        <v>634</v>
      </c>
      <c r="C432" s="74" t="s">
        <v>61</v>
      </c>
      <c r="D432" s="74" t="s">
        <v>304</v>
      </c>
      <c r="E432" s="82" t="s">
        <v>2</v>
      </c>
      <c r="F432" s="74"/>
      <c r="G432" s="74"/>
      <c r="H432" s="75" t="s">
        <v>204</v>
      </c>
      <c r="I432" s="2"/>
      <c r="J432" s="2"/>
      <c r="K432" s="2"/>
    </row>
    <row r="433" spans="1:11" ht="13" x14ac:dyDescent="0.6">
      <c r="A433" s="83">
        <f>HYPERLINK("https://bluetooth.atlassian.net/browse/ES-13104",13104)</f>
        <v>13104</v>
      </c>
      <c r="B433" s="76" t="s">
        <v>634</v>
      </c>
      <c r="C433" s="76" t="s">
        <v>75</v>
      </c>
      <c r="D433" s="76" t="s">
        <v>304</v>
      </c>
      <c r="E433" s="84" t="s">
        <v>2</v>
      </c>
      <c r="F433" s="76"/>
      <c r="G433" s="76"/>
      <c r="H433" s="77" t="s">
        <v>204</v>
      </c>
      <c r="I433" s="2"/>
      <c r="J433" s="2"/>
      <c r="K433" s="2"/>
    </row>
    <row r="434" spans="1:11" ht="13" x14ac:dyDescent="0.6">
      <c r="A434" s="81">
        <f>HYPERLINK("https://bluetooth.atlassian.net/browse/ES-13147",13147)</f>
        <v>13147</v>
      </c>
      <c r="B434" s="74" t="s">
        <v>634</v>
      </c>
      <c r="C434" s="74" t="s">
        <v>76</v>
      </c>
      <c r="D434" s="74" t="s">
        <v>304</v>
      </c>
      <c r="E434" s="82" t="s">
        <v>2</v>
      </c>
      <c r="F434" s="74"/>
      <c r="G434" s="74"/>
      <c r="H434" s="75" t="s">
        <v>204</v>
      </c>
      <c r="I434" s="2"/>
      <c r="J434" s="2"/>
      <c r="K434" s="2"/>
    </row>
    <row r="435" spans="1:11" ht="13" x14ac:dyDescent="0.6">
      <c r="A435" s="83">
        <f>HYPERLINK("https://bluetooth.atlassian.net/browse/ES-13148",13148)</f>
        <v>13148</v>
      </c>
      <c r="B435" s="76" t="s">
        <v>634</v>
      </c>
      <c r="C435" s="76" t="s">
        <v>77</v>
      </c>
      <c r="D435" s="76" t="s">
        <v>304</v>
      </c>
      <c r="E435" s="84" t="s">
        <v>2</v>
      </c>
      <c r="F435" s="76"/>
      <c r="G435" s="76"/>
      <c r="H435" s="77" t="s">
        <v>204</v>
      </c>
      <c r="I435" s="2"/>
      <c r="J435" s="2"/>
      <c r="K435" s="2"/>
    </row>
    <row r="436" spans="1:11" ht="13" x14ac:dyDescent="0.6">
      <c r="A436" s="81">
        <f>HYPERLINK("https://bluetooth.atlassian.net/browse/ES-13177",13177)</f>
        <v>13177</v>
      </c>
      <c r="B436" s="74" t="s">
        <v>634</v>
      </c>
      <c r="C436" s="74" t="s">
        <v>84</v>
      </c>
      <c r="D436" s="74" t="s">
        <v>304</v>
      </c>
      <c r="E436" s="82" t="s">
        <v>2</v>
      </c>
      <c r="F436" s="74"/>
      <c r="G436" s="74"/>
      <c r="H436" s="75" t="s">
        <v>204</v>
      </c>
      <c r="I436" s="2"/>
      <c r="J436" s="2"/>
      <c r="K436" s="2"/>
    </row>
    <row r="437" spans="1:11" ht="13" x14ac:dyDescent="0.6">
      <c r="A437" s="83">
        <f>HYPERLINK("https://bluetooth.atlassian.net/browse/ES-13178",13178)</f>
        <v>13178</v>
      </c>
      <c r="B437" s="76" t="s">
        <v>634</v>
      </c>
      <c r="C437" s="76" t="s">
        <v>85</v>
      </c>
      <c r="D437" s="76" t="s">
        <v>304</v>
      </c>
      <c r="E437" s="84" t="s">
        <v>2</v>
      </c>
      <c r="F437" s="76"/>
      <c r="G437" s="76"/>
      <c r="H437" s="77" t="s">
        <v>204</v>
      </c>
      <c r="I437" s="2"/>
      <c r="J437" s="2"/>
      <c r="K437" s="2"/>
    </row>
    <row r="438" spans="1:11" ht="13" x14ac:dyDescent="0.6">
      <c r="A438" s="81">
        <f>HYPERLINK("https://bluetooth.atlassian.net/browse/ES-13179",13179)</f>
        <v>13179</v>
      </c>
      <c r="B438" s="74" t="s">
        <v>634</v>
      </c>
      <c r="C438" s="74" t="s">
        <v>86</v>
      </c>
      <c r="D438" s="74" t="s">
        <v>304</v>
      </c>
      <c r="E438" s="82" t="s">
        <v>2</v>
      </c>
      <c r="F438" s="74"/>
      <c r="G438" s="74"/>
      <c r="H438" s="75" t="s">
        <v>204</v>
      </c>
      <c r="I438" s="2"/>
      <c r="J438" s="2"/>
      <c r="K438" s="2"/>
    </row>
    <row r="439" spans="1:11" ht="13" x14ac:dyDescent="0.6">
      <c r="A439" s="83">
        <f>HYPERLINK("https://bluetooth.atlassian.net/browse/ES-13180",13180)</f>
        <v>13180</v>
      </c>
      <c r="B439" s="76" t="s">
        <v>634</v>
      </c>
      <c r="C439" s="76" t="s">
        <v>87</v>
      </c>
      <c r="D439" s="76" t="s">
        <v>304</v>
      </c>
      <c r="E439" s="84" t="s">
        <v>2</v>
      </c>
      <c r="F439" s="76"/>
      <c r="G439" s="76"/>
      <c r="H439" s="77" t="s">
        <v>204</v>
      </c>
      <c r="I439" s="2"/>
      <c r="J439" s="2"/>
      <c r="K439" s="2"/>
    </row>
    <row r="440" spans="1:11" ht="13" x14ac:dyDescent="0.6">
      <c r="A440" s="81">
        <f>HYPERLINK("https://bluetooth.atlassian.net/browse/ES-13182",13182)</f>
        <v>13182</v>
      </c>
      <c r="B440" s="74" t="s">
        <v>634</v>
      </c>
      <c r="C440" s="74" t="s">
        <v>88</v>
      </c>
      <c r="D440" s="74" t="s">
        <v>304</v>
      </c>
      <c r="E440" s="82" t="s">
        <v>2</v>
      </c>
      <c r="F440" s="74"/>
      <c r="G440" s="74"/>
      <c r="H440" s="75" t="s">
        <v>204</v>
      </c>
      <c r="I440" s="2"/>
      <c r="J440" s="2"/>
      <c r="K440" s="2"/>
    </row>
    <row r="441" spans="1:11" ht="13" x14ac:dyDescent="0.6">
      <c r="A441" s="83">
        <f>HYPERLINK("https://bluetooth.atlassian.net/browse/ES-13183",13183)</f>
        <v>13183</v>
      </c>
      <c r="B441" s="76" t="s">
        <v>634</v>
      </c>
      <c r="C441" s="76" t="s">
        <v>89</v>
      </c>
      <c r="D441" s="76" t="s">
        <v>304</v>
      </c>
      <c r="E441" s="84" t="s">
        <v>2</v>
      </c>
      <c r="F441" s="76"/>
      <c r="G441" s="76"/>
      <c r="H441" s="77" t="s">
        <v>204</v>
      </c>
      <c r="I441" s="2"/>
      <c r="J441" s="2"/>
      <c r="K441" s="2"/>
    </row>
    <row r="442" spans="1:11" ht="13" x14ac:dyDescent="0.6">
      <c r="A442" s="81">
        <f>HYPERLINK("https://bluetooth.atlassian.net/browse/ES-13184",13184)</f>
        <v>13184</v>
      </c>
      <c r="B442" s="74" t="s">
        <v>634</v>
      </c>
      <c r="C442" s="74" t="s">
        <v>90</v>
      </c>
      <c r="D442" s="74" t="s">
        <v>304</v>
      </c>
      <c r="E442" s="82" t="s">
        <v>2</v>
      </c>
      <c r="F442" s="74"/>
      <c r="G442" s="74"/>
      <c r="H442" s="75" t="s">
        <v>204</v>
      </c>
      <c r="I442" s="2"/>
      <c r="J442" s="2"/>
      <c r="K442" s="2"/>
    </row>
    <row r="443" spans="1:11" ht="13" x14ac:dyDescent="0.6">
      <c r="A443" s="83">
        <f>HYPERLINK("https://bluetooth.atlassian.net/browse/ES-13185",13185)</f>
        <v>13185</v>
      </c>
      <c r="B443" s="76" t="s">
        <v>634</v>
      </c>
      <c r="C443" s="76" t="s">
        <v>91</v>
      </c>
      <c r="D443" s="76" t="s">
        <v>304</v>
      </c>
      <c r="E443" s="84" t="s">
        <v>2</v>
      </c>
      <c r="F443" s="76"/>
      <c r="G443" s="76"/>
      <c r="H443" s="77" t="s">
        <v>204</v>
      </c>
      <c r="I443" s="2"/>
      <c r="J443" s="2"/>
      <c r="K443" s="2"/>
    </row>
    <row r="444" spans="1:11" ht="13" x14ac:dyDescent="0.6">
      <c r="A444" s="81">
        <f>HYPERLINK("https://bluetooth.atlassian.net/browse/ES-13187",13187)</f>
        <v>13187</v>
      </c>
      <c r="B444" s="74" t="s">
        <v>634</v>
      </c>
      <c r="C444" s="74" t="s">
        <v>93</v>
      </c>
      <c r="D444" s="74" t="s">
        <v>304</v>
      </c>
      <c r="E444" s="82" t="s">
        <v>2</v>
      </c>
      <c r="F444" s="74"/>
      <c r="G444" s="74"/>
      <c r="H444" s="75" t="s">
        <v>204</v>
      </c>
      <c r="I444" s="2"/>
      <c r="J444" s="2"/>
      <c r="K444" s="2"/>
    </row>
    <row r="445" spans="1:11" ht="13" x14ac:dyDescent="0.6">
      <c r="A445" s="83">
        <f>HYPERLINK("https://bluetooth.atlassian.net/browse/ES-13188",13188)</f>
        <v>13188</v>
      </c>
      <c r="B445" s="76" t="s">
        <v>634</v>
      </c>
      <c r="C445" s="76" t="s">
        <v>94</v>
      </c>
      <c r="D445" s="76" t="s">
        <v>304</v>
      </c>
      <c r="E445" s="84" t="s">
        <v>2</v>
      </c>
      <c r="F445" s="76"/>
      <c r="G445" s="76"/>
      <c r="H445" s="77" t="s">
        <v>204</v>
      </c>
      <c r="I445" s="2"/>
      <c r="J445" s="2"/>
      <c r="K445" s="2"/>
    </row>
    <row r="446" spans="1:11" ht="13" x14ac:dyDescent="0.6">
      <c r="A446" s="81">
        <f>HYPERLINK("https://bluetooth.atlassian.net/browse/ES-13189",13189)</f>
        <v>13189</v>
      </c>
      <c r="B446" s="74" t="s">
        <v>634</v>
      </c>
      <c r="C446" s="74" t="s">
        <v>95</v>
      </c>
      <c r="D446" s="74" t="s">
        <v>304</v>
      </c>
      <c r="E446" s="82" t="s">
        <v>2</v>
      </c>
      <c r="F446" s="74"/>
      <c r="G446" s="74"/>
      <c r="H446" s="75" t="s">
        <v>204</v>
      </c>
      <c r="I446" s="2"/>
      <c r="J446" s="2"/>
      <c r="K446" s="2"/>
    </row>
    <row r="447" spans="1:11" ht="13" x14ac:dyDescent="0.6">
      <c r="A447" s="83">
        <f>HYPERLINK("https://bluetooth.atlassian.net/browse/ES-13190",13190)</f>
        <v>13190</v>
      </c>
      <c r="B447" s="76" t="s">
        <v>634</v>
      </c>
      <c r="C447" s="76" t="s">
        <v>96</v>
      </c>
      <c r="D447" s="76" t="s">
        <v>304</v>
      </c>
      <c r="E447" s="84" t="s">
        <v>2</v>
      </c>
      <c r="F447" s="76"/>
      <c r="G447" s="76"/>
      <c r="H447" s="77" t="s">
        <v>204</v>
      </c>
      <c r="I447" s="2"/>
      <c r="J447" s="2"/>
      <c r="K447" s="2"/>
    </row>
    <row r="448" spans="1:11" ht="13" x14ac:dyDescent="0.6">
      <c r="A448" s="81">
        <f>HYPERLINK("https://bluetooth.atlassian.net/browse/ES-13195",13195)</f>
        <v>13195</v>
      </c>
      <c r="B448" s="74" t="s">
        <v>635</v>
      </c>
      <c r="C448" s="74" t="s">
        <v>97</v>
      </c>
      <c r="D448" s="74" t="s">
        <v>304</v>
      </c>
      <c r="E448" s="82" t="s">
        <v>2</v>
      </c>
      <c r="F448" s="74"/>
      <c r="G448" s="74"/>
      <c r="H448" s="75" t="s">
        <v>204</v>
      </c>
      <c r="I448" s="2"/>
      <c r="J448" s="2"/>
      <c r="K448" s="2"/>
    </row>
    <row r="449" spans="1:11" ht="13" x14ac:dyDescent="0.6">
      <c r="A449" s="83">
        <f>HYPERLINK("https://bluetooth.atlassian.net/browse/ES-13216",13216)</f>
        <v>13216</v>
      </c>
      <c r="B449" s="76" t="s">
        <v>634</v>
      </c>
      <c r="C449" s="76" t="s">
        <v>98</v>
      </c>
      <c r="D449" s="76" t="s">
        <v>304</v>
      </c>
      <c r="E449" s="84" t="s">
        <v>2</v>
      </c>
      <c r="F449" s="76"/>
      <c r="G449" s="76"/>
      <c r="H449" s="77" t="s">
        <v>204</v>
      </c>
      <c r="I449" s="2"/>
      <c r="J449" s="2"/>
      <c r="K449" s="2"/>
    </row>
    <row r="450" spans="1:11" ht="13" x14ac:dyDescent="0.6">
      <c r="A450" s="81">
        <f>HYPERLINK("https://bluetooth.atlassian.net/browse/ES-13235",13235)</f>
        <v>13235</v>
      </c>
      <c r="B450" s="74" t="s">
        <v>634</v>
      </c>
      <c r="C450" s="74" t="s">
        <v>99</v>
      </c>
      <c r="D450" s="74" t="s">
        <v>304</v>
      </c>
      <c r="E450" s="82" t="s">
        <v>2</v>
      </c>
      <c r="F450" s="74"/>
      <c r="G450" s="74"/>
      <c r="H450" s="75" t="s">
        <v>204</v>
      </c>
      <c r="I450" s="2"/>
      <c r="J450" s="2"/>
      <c r="K450" s="2"/>
    </row>
    <row r="451" spans="1:11" ht="13" x14ac:dyDescent="0.6">
      <c r="A451" s="83">
        <f>HYPERLINK("https://bluetooth.atlassian.net/browse/ES-13236",13236)</f>
        <v>13236</v>
      </c>
      <c r="B451" s="76" t="s">
        <v>634</v>
      </c>
      <c r="C451" s="76" t="s">
        <v>100</v>
      </c>
      <c r="D451" s="76" t="s">
        <v>304</v>
      </c>
      <c r="E451" s="84" t="s">
        <v>2</v>
      </c>
      <c r="F451" s="76"/>
      <c r="G451" s="76"/>
      <c r="H451" s="77" t="s">
        <v>204</v>
      </c>
      <c r="I451" s="2"/>
      <c r="J451" s="2"/>
      <c r="K451" s="2"/>
    </row>
    <row r="452" spans="1:11" ht="13" x14ac:dyDescent="0.6">
      <c r="A452" s="81">
        <f>HYPERLINK("https://bluetooth.atlassian.net/browse/ES-13255",13255)</f>
        <v>13255</v>
      </c>
      <c r="B452" s="74" t="s">
        <v>634</v>
      </c>
      <c r="C452" s="74" t="s">
        <v>107</v>
      </c>
      <c r="D452" s="74" t="s">
        <v>304</v>
      </c>
      <c r="E452" s="82" t="s">
        <v>2</v>
      </c>
      <c r="F452" s="74"/>
      <c r="G452" s="74"/>
      <c r="H452" s="75" t="s">
        <v>204</v>
      </c>
      <c r="I452" s="2"/>
      <c r="J452" s="2"/>
      <c r="K452" s="2"/>
    </row>
    <row r="453" spans="1:11" ht="13" x14ac:dyDescent="0.6">
      <c r="A453" s="83">
        <f>HYPERLINK("https://bluetooth.atlassian.net/browse/ES-13278",13278)</f>
        <v>13278</v>
      </c>
      <c r="B453" s="76" t="s">
        <v>634</v>
      </c>
      <c r="C453" s="76" t="s">
        <v>110</v>
      </c>
      <c r="D453" s="76" t="s">
        <v>304</v>
      </c>
      <c r="E453" s="84" t="s">
        <v>2</v>
      </c>
      <c r="F453" s="76"/>
      <c r="G453" s="76"/>
      <c r="H453" s="77" t="s">
        <v>204</v>
      </c>
      <c r="I453" s="2"/>
      <c r="J453" s="2"/>
      <c r="K453" s="2"/>
    </row>
    <row r="454" spans="1:11" ht="13" x14ac:dyDescent="0.6">
      <c r="A454" s="81">
        <f>HYPERLINK("https://bluetooth.atlassian.net/browse/ES-13287",13287)</f>
        <v>13287</v>
      </c>
      <c r="B454" s="74" t="s">
        <v>634</v>
      </c>
      <c r="C454" s="74" t="s">
        <v>112</v>
      </c>
      <c r="D454" s="74" t="s">
        <v>304</v>
      </c>
      <c r="E454" s="82" t="s">
        <v>2</v>
      </c>
      <c r="F454" s="74"/>
      <c r="G454" s="74"/>
      <c r="H454" s="75" t="s">
        <v>204</v>
      </c>
      <c r="I454" s="2"/>
      <c r="J454" s="2"/>
      <c r="K454" s="2"/>
    </row>
    <row r="455" spans="1:11" ht="13" x14ac:dyDescent="0.6">
      <c r="A455" s="83">
        <f>HYPERLINK("https://bluetooth.atlassian.net/browse/ES-13344",13344)</f>
        <v>13344</v>
      </c>
      <c r="B455" s="76" t="s">
        <v>634</v>
      </c>
      <c r="C455" s="76" t="s">
        <v>120</v>
      </c>
      <c r="D455" s="76" t="s">
        <v>304</v>
      </c>
      <c r="E455" s="84" t="s">
        <v>2</v>
      </c>
      <c r="F455" s="76"/>
      <c r="G455" s="76"/>
      <c r="H455" s="77" t="s">
        <v>204</v>
      </c>
      <c r="I455" s="2"/>
      <c r="J455" s="2"/>
      <c r="K455" s="2"/>
    </row>
    <row r="456" spans="1:11" ht="13" x14ac:dyDescent="0.6">
      <c r="A456" s="81">
        <f>HYPERLINK("https://bluetooth.atlassian.net/browse/ES-13416",13416)</f>
        <v>13416</v>
      </c>
      <c r="B456" s="74" t="s">
        <v>634</v>
      </c>
      <c r="C456" s="74" t="s">
        <v>124</v>
      </c>
      <c r="D456" s="74" t="s">
        <v>304</v>
      </c>
      <c r="E456" s="82" t="s">
        <v>2</v>
      </c>
      <c r="F456" s="74"/>
      <c r="G456" s="74"/>
      <c r="H456" s="75" t="s">
        <v>204</v>
      </c>
      <c r="I456" s="2"/>
      <c r="J456" s="2"/>
      <c r="K456" s="2"/>
    </row>
    <row r="457" spans="1:11" ht="13" x14ac:dyDescent="0.6">
      <c r="A457" s="83">
        <f>HYPERLINK("https://bluetooth.atlassian.net/browse/ES-13417",13417)</f>
        <v>13417</v>
      </c>
      <c r="B457" s="76" t="s">
        <v>634</v>
      </c>
      <c r="C457" s="76" t="s">
        <v>125</v>
      </c>
      <c r="D457" s="76" t="s">
        <v>304</v>
      </c>
      <c r="E457" s="84" t="s">
        <v>2</v>
      </c>
      <c r="F457" s="76"/>
      <c r="G457" s="76"/>
      <c r="H457" s="77" t="s">
        <v>204</v>
      </c>
      <c r="I457" s="2"/>
      <c r="J457" s="2"/>
      <c r="K457" s="2"/>
    </row>
    <row r="458" spans="1:11" ht="13" x14ac:dyDescent="0.6">
      <c r="A458" s="81">
        <f>HYPERLINK("https://bluetooth.atlassian.net/browse/ES-13426",13426)</f>
        <v>13426</v>
      </c>
      <c r="B458" s="74" t="s">
        <v>634</v>
      </c>
      <c r="C458" s="74" t="s">
        <v>126</v>
      </c>
      <c r="D458" s="74" t="s">
        <v>304</v>
      </c>
      <c r="E458" s="82" t="s">
        <v>2</v>
      </c>
      <c r="F458" s="74"/>
      <c r="G458" s="74"/>
      <c r="H458" s="75" t="s">
        <v>204</v>
      </c>
      <c r="I458" s="2"/>
      <c r="J458" s="2"/>
      <c r="K458" s="2"/>
    </row>
    <row r="459" spans="1:11" ht="13" x14ac:dyDescent="0.6">
      <c r="A459" s="83">
        <f>HYPERLINK("https://bluetooth.atlassian.net/browse/ES-13500",13500)</f>
        <v>13500</v>
      </c>
      <c r="B459" s="76" t="s">
        <v>634</v>
      </c>
      <c r="C459" s="76" t="s">
        <v>129</v>
      </c>
      <c r="D459" s="76" t="s">
        <v>304</v>
      </c>
      <c r="E459" s="84" t="s">
        <v>2</v>
      </c>
      <c r="F459" s="76"/>
      <c r="G459" s="76"/>
      <c r="H459" s="77" t="s">
        <v>204</v>
      </c>
      <c r="I459" s="2"/>
      <c r="J459" s="2"/>
    </row>
    <row r="460" spans="1:11" ht="13" x14ac:dyDescent="0.6">
      <c r="A460" s="81">
        <f>HYPERLINK("https://bluetooth.atlassian.net/browse/ES-13523",13523)</f>
        <v>13523</v>
      </c>
      <c r="B460" s="74" t="s">
        <v>634</v>
      </c>
      <c r="C460" s="74" t="s">
        <v>131</v>
      </c>
      <c r="D460" s="74" t="s">
        <v>304</v>
      </c>
      <c r="E460" s="82" t="s">
        <v>2</v>
      </c>
      <c r="F460" s="74"/>
      <c r="G460" s="74"/>
      <c r="H460" s="75" t="s">
        <v>204</v>
      </c>
      <c r="I460" s="2"/>
      <c r="J460" s="2"/>
    </row>
    <row r="461" spans="1:11" ht="13" x14ac:dyDescent="0.6">
      <c r="A461" s="83">
        <f>HYPERLINK("https://bluetooth.atlassian.net/browse/ES-13546",13546)</f>
        <v>13546</v>
      </c>
      <c r="B461" s="76" t="s">
        <v>634</v>
      </c>
      <c r="C461" s="76" t="s">
        <v>538</v>
      </c>
      <c r="D461" s="76" t="s">
        <v>304</v>
      </c>
      <c r="E461" s="84" t="s">
        <v>2</v>
      </c>
      <c r="F461" s="76"/>
      <c r="G461" s="76"/>
      <c r="H461" s="77" t="s">
        <v>204</v>
      </c>
      <c r="I461" s="2"/>
      <c r="J461" s="2"/>
    </row>
    <row r="462" spans="1:11" ht="13" x14ac:dyDescent="0.6">
      <c r="A462" s="81">
        <f>HYPERLINK("https://bluetooth.atlassian.net/browse/ES-14698",14698)</f>
        <v>14698</v>
      </c>
      <c r="B462" s="74" t="s">
        <v>634</v>
      </c>
      <c r="C462" s="74" t="s">
        <v>129</v>
      </c>
      <c r="D462" s="74" t="s">
        <v>304</v>
      </c>
      <c r="E462" s="82" t="s">
        <v>2</v>
      </c>
      <c r="F462" s="74"/>
      <c r="G462" s="74"/>
      <c r="H462" s="75" t="s">
        <v>204</v>
      </c>
      <c r="I462" s="2"/>
      <c r="J462" s="2"/>
    </row>
    <row r="463" spans="1:11" ht="13" x14ac:dyDescent="0.6">
      <c r="A463" s="83">
        <f>HYPERLINK("https://bluetooth.atlassian.net/browse/ES-14704",14704)</f>
        <v>14704</v>
      </c>
      <c r="B463" s="76" t="s">
        <v>634</v>
      </c>
      <c r="C463" s="76" t="s">
        <v>151</v>
      </c>
      <c r="D463" s="76" t="s">
        <v>304</v>
      </c>
      <c r="E463" s="84" t="s">
        <v>2</v>
      </c>
      <c r="F463" s="76"/>
      <c r="G463" s="76"/>
      <c r="H463" s="77" t="s">
        <v>204</v>
      </c>
      <c r="I463" s="2"/>
      <c r="J463" s="2"/>
    </row>
    <row r="464" spans="1:11" ht="13" x14ac:dyDescent="0.6">
      <c r="A464" s="81">
        <f>HYPERLINK("https://bluetooth.atlassian.net/browse/ES-14705",14705)</f>
        <v>14705</v>
      </c>
      <c r="B464" s="74" t="s">
        <v>634</v>
      </c>
      <c r="C464" s="74" t="s">
        <v>152</v>
      </c>
      <c r="D464" s="74" t="s">
        <v>304</v>
      </c>
      <c r="E464" s="82" t="s">
        <v>2</v>
      </c>
      <c r="F464" s="74"/>
      <c r="G464" s="74"/>
      <c r="H464" s="75" t="s">
        <v>204</v>
      </c>
      <c r="I464" s="2"/>
      <c r="J464" s="2"/>
    </row>
    <row r="465" spans="1:10" ht="13" x14ac:dyDescent="0.6">
      <c r="A465" s="83">
        <f>HYPERLINK("https://bluetooth.atlassian.net/browse/ES-14732",14732)</f>
        <v>14732</v>
      </c>
      <c r="B465" s="76" t="s">
        <v>634</v>
      </c>
      <c r="C465" s="76" t="s">
        <v>156</v>
      </c>
      <c r="D465" s="76" t="s">
        <v>304</v>
      </c>
      <c r="E465" s="84" t="s">
        <v>2</v>
      </c>
      <c r="F465" s="76"/>
      <c r="G465" s="76"/>
      <c r="H465" s="77" t="s">
        <v>204</v>
      </c>
      <c r="I465" s="2"/>
      <c r="J465" s="2"/>
    </row>
    <row r="466" spans="1:10" ht="13" x14ac:dyDescent="0.6">
      <c r="A466" s="81">
        <f>HYPERLINK("https://bluetooth.atlassian.net/browse/ES-14790",14790)</f>
        <v>14790</v>
      </c>
      <c r="B466" s="74" t="s">
        <v>634</v>
      </c>
      <c r="C466" s="74" t="s">
        <v>160</v>
      </c>
      <c r="D466" s="74" t="s">
        <v>304</v>
      </c>
      <c r="E466" s="82" t="s">
        <v>2</v>
      </c>
      <c r="F466" s="74"/>
      <c r="G466" s="74"/>
      <c r="H466" s="75" t="s">
        <v>204</v>
      </c>
      <c r="I466" s="2"/>
      <c r="J466" s="2"/>
    </row>
    <row r="467" spans="1:10" ht="13" x14ac:dyDescent="0.6">
      <c r="A467" s="83">
        <f>HYPERLINK("https://bluetooth.atlassian.net/browse/ES-14866",14866)</f>
        <v>14866</v>
      </c>
      <c r="B467" s="76" t="s">
        <v>634</v>
      </c>
      <c r="C467" s="76" t="s">
        <v>166</v>
      </c>
      <c r="D467" s="76" t="s">
        <v>304</v>
      </c>
      <c r="E467" s="84" t="s">
        <v>2</v>
      </c>
      <c r="F467" s="76"/>
      <c r="G467" s="76"/>
      <c r="H467" s="77" t="s">
        <v>204</v>
      </c>
      <c r="I467" s="2"/>
      <c r="J467" s="2"/>
    </row>
    <row r="468" spans="1:10" ht="13" x14ac:dyDescent="0.6">
      <c r="A468" s="81">
        <f>HYPERLINK("https://bluetooth.atlassian.net/browse/ES-14979",14979)</f>
        <v>14979</v>
      </c>
      <c r="B468" s="74" t="s">
        <v>634</v>
      </c>
      <c r="C468" s="74" t="s">
        <v>175</v>
      </c>
      <c r="D468" s="74" t="s">
        <v>304</v>
      </c>
      <c r="E468" s="82" t="s">
        <v>2</v>
      </c>
      <c r="F468" s="74"/>
      <c r="G468" s="74"/>
      <c r="H468" s="75" t="s">
        <v>204</v>
      </c>
      <c r="I468" s="2"/>
      <c r="J468" s="2"/>
    </row>
    <row r="469" spans="1:10" ht="13" x14ac:dyDescent="0.6">
      <c r="A469" s="83">
        <f>HYPERLINK("https://bluetooth.atlassian.net/browse/ES-15032",15032)</f>
        <v>15032</v>
      </c>
      <c r="B469" s="76" t="s">
        <v>634</v>
      </c>
      <c r="C469" s="76" t="s">
        <v>183</v>
      </c>
      <c r="D469" s="76" t="s">
        <v>304</v>
      </c>
      <c r="E469" s="84" t="s">
        <v>2</v>
      </c>
      <c r="F469" s="76"/>
      <c r="G469" s="76"/>
      <c r="H469" s="77" t="s">
        <v>204</v>
      </c>
      <c r="I469" s="2"/>
      <c r="J469" s="2"/>
    </row>
    <row r="470" spans="1:10" ht="13" x14ac:dyDescent="0.6">
      <c r="A470" s="81">
        <f>HYPERLINK("https://bluetooth.atlassian.net/browse/ES-15035",15035)</f>
        <v>15035</v>
      </c>
      <c r="B470" s="74" t="s">
        <v>634</v>
      </c>
      <c r="C470" s="74" t="s">
        <v>184</v>
      </c>
      <c r="D470" s="74" t="s">
        <v>304</v>
      </c>
      <c r="E470" s="82" t="s">
        <v>2</v>
      </c>
      <c r="F470" s="74"/>
      <c r="G470" s="74"/>
      <c r="H470" s="75" t="s">
        <v>204</v>
      </c>
      <c r="I470" s="2"/>
      <c r="J470" s="2"/>
    </row>
    <row r="471" spans="1:10" ht="13" x14ac:dyDescent="0.6">
      <c r="A471" s="83">
        <f>HYPERLINK("https://bluetooth.atlassian.net/browse/ES-15111",15111)</f>
        <v>15111</v>
      </c>
      <c r="B471" s="76" t="s">
        <v>634</v>
      </c>
      <c r="C471" s="76" t="s">
        <v>190</v>
      </c>
      <c r="D471" s="76" t="s">
        <v>304</v>
      </c>
      <c r="E471" s="84" t="s">
        <v>2</v>
      </c>
      <c r="F471" s="76"/>
      <c r="G471" s="76"/>
      <c r="H471" s="77" t="s">
        <v>204</v>
      </c>
      <c r="I471" s="2"/>
      <c r="J471" s="2"/>
    </row>
    <row r="472" spans="1:10" ht="13" x14ac:dyDescent="0.6">
      <c r="A472" s="81">
        <f>HYPERLINK("https://bluetooth.atlassian.net/browse/ES-15115",15115)</f>
        <v>15115</v>
      </c>
      <c r="B472" s="74" t="s">
        <v>635</v>
      </c>
      <c r="C472" s="74" t="s">
        <v>191</v>
      </c>
      <c r="D472" s="74" t="s">
        <v>304</v>
      </c>
      <c r="E472" s="82" t="s">
        <v>2</v>
      </c>
      <c r="F472" s="74"/>
      <c r="G472" s="74"/>
      <c r="H472" s="75" t="s">
        <v>204</v>
      </c>
      <c r="I472" s="2"/>
      <c r="J472" s="2"/>
    </row>
    <row r="473" spans="1:10" ht="13" x14ac:dyDescent="0.6">
      <c r="A473" s="83">
        <f>HYPERLINK("https://bluetooth.atlassian.net/browse/ES-15117",15117)</f>
        <v>15117</v>
      </c>
      <c r="B473" s="76" t="s">
        <v>634</v>
      </c>
      <c r="C473" s="76" t="s">
        <v>192</v>
      </c>
      <c r="D473" s="76" t="s">
        <v>304</v>
      </c>
      <c r="E473" s="84" t="s">
        <v>2</v>
      </c>
      <c r="F473" s="76"/>
      <c r="G473" s="76"/>
      <c r="H473" s="77" t="s">
        <v>204</v>
      </c>
      <c r="I473" s="2"/>
      <c r="J473" s="2"/>
    </row>
    <row r="474" spans="1:10" ht="13" x14ac:dyDescent="0.6">
      <c r="A474" s="81">
        <f>HYPERLINK("https://bluetooth.atlassian.net/browse/ES-15131",15131)</f>
        <v>15131</v>
      </c>
      <c r="B474" s="74" t="s">
        <v>634</v>
      </c>
      <c r="C474" s="74" t="s">
        <v>193</v>
      </c>
      <c r="D474" s="74" t="s">
        <v>304</v>
      </c>
      <c r="E474" s="82" t="s">
        <v>2</v>
      </c>
      <c r="F474" s="74"/>
      <c r="G474" s="74"/>
      <c r="H474" s="75" t="s">
        <v>204</v>
      </c>
      <c r="I474" s="2"/>
      <c r="J474" s="2"/>
    </row>
    <row r="475" spans="1:10" ht="13" x14ac:dyDescent="0.6">
      <c r="A475" s="83">
        <f>HYPERLINK("https://bluetooth.atlassian.net/browse/ES-15176",15176)</f>
        <v>15176</v>
      </c>
      <c r="B475" s="76" t="s">
        <v>635</v>
      </c>
      <c r="C475" s="76" t="s">
        <v>195</v>
      </c>
      <c r="D475" s="76" t="s">
        <v>304</v>
      </c>
      <c r="E475" s="84" t="s">
        <v>2</v>
      </c>
      <c r="F475" s="76"/>
      <c r="G475" s="76"/>
      <c r="H475" s="77" t="s">
        <v>204</v>
      </c>
      <c r="I475" s="2"/>
      <c r="J475" s="2"/>
    </row>
    <row r="476" spans="1:10" ht="13" x14ac:dyDescent="0.6">
      <c r="A476" s="81">
        <f>HYPERLINK("https://bluetooth.atlassian.net/browse/ES-15189",15189)</f>
        <v>15189</v>
      </c>
      <c r="B476" s="74" t="s">
        <v>635</v>
      </c>
      <c r="C476" s="74" t="s">
        <v>196</v>
      </c>
      <c r="D476" s="74" t="s">
        <v>304</v>
      </c>
      <c r="E476" s="82" t="s">
        <v>2</v>
      </c>
      <c r="F476" s="74"/>
      <c r="G476" s="74"/>
      <c r="H476" s="75" t="s">
        <v>204</v>
      </c>
      <c r="I476" s="2"/>
      <c r="J476" s="2"/>
    </row>
    <row r="477" spans="1:10" ht="13" x14ac:dyDescent="0.6">
      <c r="A477" s="83">
        <f>HYPERLINK("https://bluetooth.atlassian.net/browse/ES-15198",15198)</f>
        <v>15198</v>
      </c>
      <c r="B477" s="76" t="s">
        <v>635</v>
      </c>
      <c r="C477" s="76" t="s">
        <v>199</v>
      </c>
      <c r="D477" s="76" t="s">
        <v>304</v>
      </c>
      <c r="E477" s="84" t="s">
        <v>2</v>
      </c>
      <c r="F477" s="76"/>
      <c r="G477" s="76"/>
      <c r="H477" s="77" t="s">
        <v>204</v>
      </c>
      <c r="I477" s="2"/>
      <c r="J477" s="2"/>
    </row>
    <row r="478" spans="1:10" ht="13" x14ac:dyDescent="0.6">
      <c r="A478" s="81">
        <f>HYPERLINK("https://bluetooth.atlassian.net/browse/ES-15201",15201)</f>
        <v>15201</v>
      </c>
      <c r="B478" s="74" t="s">
        <v>635</v>
      </c>
      <c r="C478" s="74" t="s">
        <v>200</v>
      </c>
      <c r="D478" s="74" t="s">
        <v>304</v>
      </c>
      <c r="E478" s="82" t="s">
        <v>2</v>
      </c>
      <c r="F478" s="74"/>
      <c r="G478" s="74"/>
      <c r="H478" s="75" t="s">
        <v>204</v>
      </c>
      <c r="I478" s="2"/>
      <c r="J478" s="2"/>
    </row>
    <row r="479" spans="1:10" ht="13" x14ac:dyDescent="0.6">
      <c r="A479" s="83">
        <f>HYPERLINK("https://bluetooth.atlassian.net/browse/ES-15220",15220)</f>
        <v>15220</v>
      </c>
      <c r="B479" s="76" t="s">
        <v>635</v>
      </c>
      <c r="C479" s="76" t="s">
        <v>203</v>
      </c>
      <c r="D479" s="76" t="s">
        <v>304</v>
      </c>
      <c r="E479" s="84" t="s">
        <v>2</v>
      </c>
      <c r="F479" s="76"/>
      <c r="G479" s="76"/>
      <c r="H479" s="77" t="s">
        <v>204</v>
      </c>
      <c r="I479" s="2"/>
      <c r="J479" s="2"/>
    </row>
    <row r="480" spans="1:10" ht="13" x14ac:dyDescent="0.6">
      <c r="A480" s="81">
        <f>HYPERLINK("https://bluetooth.atlassian.net/browse/ES-15243",15243)</f>
        <v>15243</v>
      </c>
      <c r="B480" s="74" t="s">
        <v>634</v>
      </c>
      <c r="C480" s="74" t="s">
        <v>205</v>
      </c>
      <c r="D480" s="74" t="s">
        <v>304</v>
      </c>
      <c r="E480" s="82" t="s">
        <v>2</v>
      </c>
      <c r="F480" s="74"/>
      <c r="G480" s="74"/>
      <c r="H480" s="75"/>
      <c r="I480" s="2"/>
      <c r="J480" s="2"/>
    </row>
    <row r="481" spans="1:10" ht="13" x14ac:dyDescent="0.6">
      <c r="A481" s="83">
        <f>HYPERLINK("https://bluetooth.atlassian.net/browse/ES-15273",15273)</f>
        <v>15273</v>
      </c>
      <c r="B481" s="76" t="s">
        <v>634</v>
      </c>
      <c r="C481" s="76" t="s">
        <v>207</v>
      </c>
      <c r="D481" s="76" t="s">
        <v>304</v>
      </c>
      <c r="E481" s="84" t="s">
        <v>2</v>
      </c>
      <c r="F481" s="76"/>
      <c r="G481" s="76"/>
      <c r="H481" s="77"/>
      <c r="I481" s="2"/>
      <c r="J481" s="2"/>
    </row>
    <row r="482" spans="1:10" ht="13" x14ac:dyDescent="0.6">
      <c r="A482" s="81">
        <f>HYPERLINK("https://bluetooth.atlassian.net/browse/ES-15274",15274)</f>
        <v>15274</v>
      </c>
      <c r="B482" s="74" t="s">
        <v>634</v>
      </c>
      <c r="C482" s="74" t="s">
        <v>208</v>
      </c>
      <c r="D482" s="74" t="s">
        <v>304</v>
      </c>
      <c r="E482" s="82" t="s">
        <v>2</v>
      </c>
      <c r="F482" s="74"/>
      <c r="G482" s="74"/>
      <c r="H482" s="75"/>
      <c r="I482" s="2"/>
      <c r="J482" s="2"/>
    </row>
    <row r="483" spans="1:10" ht="13" x14ac:dyDescent="0.6">
      <c r="A483" s="83">
        <f>HYPERLINK("https://bluetooth.atlassian.net/browse/ES-15280",15280)</f>
        <v>15280</v>
      </c>
      <c r="B483" s="76" t="s">
        <v>634</v>
      </c>
      <c r="C483" s="76" t="s">
        <v>564</v>
      </c>
      <c r="D483" s="76" t="s">
        <v>304</v>
      </c>
      <c r="E483" s="84" t="s">
        <v>2</v>
      </c>
      <c r="F483" s="76"/>
      <c r="G483" s="76"/>
      <c r="H483" s="77"/>
      <c r="I483" s="2"/>
      <c r="J483" s="2"/>
    </row>
    <row r="484" spans="1:10" ht="13" x14ac:dyDescent="0.6">
      <c r="A484" s="81">
        <f>HYPERLINK("https://bluetooth.atlassian.net/browse/ES-15282",15282)</f>
        <v>15282</v>
      </c>
      <c r="B484" s="74" t="s">
        <v>634</v>
      </c>
      <c r="C484" s="74" t="s">
        <v>210</v>
      </c>
      <c r="D484" s="74" t="s">
        <v>304</v>
      </c>
      <c r="E484" s="82" t="s">
        <v>2</v>
      </c>
      <c r="F484" s="74"/>
      <c r="G484" s="74"/>
      <c r="H484" s="75"/>
      <c r="I484" s="2"/>
      <c r="J484" s="2"/>
    </row>
    <row r="485" spans="1:10" ht="13" x14ac:dyDescent="0.6">
      <c r="A485" s="83">
        <f>HYPERLINK("https://bluetooth.atlassian.net/browse/ES-15301",15301)</f>
        <v>15301</v>
      </c>
      <c r="B485" s="76" t="s">
        <v>634</v>
      </c>
      <c r="C485" s="76" t="s">
        <v>211</v>
      </c>
      <c r="D485" s="76" t="s">
        <v>304</v>
      </c>
      <c r="E485" s="84" t="s">
        <v>2</v>
      </c>
      <c r="F485" s="76"/>
      <c r="G485" s="76"/>
      <c r="H485" s="77"/>
      <c r="I485" s="2"/>
      <c r="J485" s="2"/>
    </row>
    <row r="486" spans="1:10" ht="13" x14ac:dyDescent="0.6">
      <c r="A486" s="81">
        <f>HYPERLINK("https://bluetooth.atlassian.net/browse/ES-15302",15302)</f>
        <v>15302</v>
      </c>
      <c r="B486" s="74" t="s">
        <v>634</v>
      </c>
      <c r="C486" s="74" t="s">
        <v>212</v>
      </c>
      <c r="D486" s="74" t="s">
        <v>304</v>
      </c>
      <c r="E486" s="82" t="s">
        <v>2</v>
      </c>
      <c r="F486" s="74"/>
      <c r="G486" s="74"/>
      <c r="H486" s="75"/>
      <c r="I486" s="2"/>
      <c r="J486" s="2"/>
    </row>
    <row r="487" spans="1:10" ht="13" x14ac:dyDescent="0.6">
      <c r="A487" s="83">
        <f>HYPERLINK("https://bluetooth.atlassian.net/browse/ES-15303",15303)</f>
        <v>15303</v>
      </c>
      <c r="B487" s="76" t="s">
        <v>634</v>
      </c>
      <c r="C487" s="76" t="s">
        <v>213</v>
      </c>
      <c r="D487" s="76" t="s">
        <v>304</v>
      </c>
      <c r="E487" s="84" t="s">
        <v>2</v>
      </c>
      <c r="F487" s="76"/>
      <c r="G487" s="76"/>
      <c r="H487" s="77"/>
      <c r="I487" s="2"/>
      <c r="J487" s="2"/>
    </row>
    <row r="488" spans="1:10" ht="13" x14ac:dyDescent="0.6">
      <c r="A488" s="81">
        <f>HYPERLINK("https://bluetooth.atlassian.net/browse/ES-15305",15305)</f>
        <v>15305</v>
      </c>
      <c r="B488" s="74" t="s">
        <v>634</v>
      </c>
      <c r="C488" s="74" t="s">
        <v>559</v>
      </c>
      <c r="D488" s="74" t="s">
        <v>304</v>
      </c>
      <c r="E488" s="82" t="s">
        <v>2</v>
      </c>
      <c r="F488" s="74"/>
      <c r="G488" s="74"/>
      <c r="H488" s="75"/>
      <c r="I488" s="2"/>
      <c r="J488" s="2"/>
    </row>
    <row r="489" spans="1:10" ht="13" x14ac:dyDescent="0.6">
      <c r="A489" s="83">
        <f>HYPERLINK("https://bluetooth.atlassian.net/browse/ES-15306",15306)</f>
        <v>15306</v>
      </c>
      <c r="B489" s="76" t="s">
        <v>634</v>
      </c>
      <c r="C489" s="76" t="s">
        <v>215</v>
      </c>
      <c r="D489" s="76" t="s">
        <v>304</v>
      </c>
      <c r="E489" s="84" t="s">
        <v>2</v>
      </c>
      <c r="F489" s="76"/>
      <c r="G489" s="76"/>
      <c r="H489" s="77"/>
      <c r="I489" s="2"/>
      <c r="J489" s="2"/>
    </row>
    <row r="490" spans="1:10" ht="13" x14ac:dyDescent="0.6">
      <c r="A490" s="81">
        <f>HYPERLINK("https://bluetooth.atlassian.net/browse/ES-15307",15307)</f>
        <v>15307</v>
      </c>
      <c r="B490" s="74" t="s">
        <v>634</v>
      </c>
      <c r="C490" s="74" t="s">
        <v>216</v>
      </c>
      <c r="D490" s="74" t="s">
        <v>304</v>
      </c>
      <c r="E490" s="82" t="s">
        <v>2</v>
      </c>
      <c r="F490" s="74"/>
      <c r="G490" s="74"/>
      <c r="H490" s="75"/>
      <c r="I490" s="2"/>
      <c r="J490" s="2"/>
    </row>
    <row r="491" spans="1:10" ht="13" x14ac:dyDescent="0.6">
      <c r="A491" s="83">
        <f>HYPERLINK("https://bluetooth.atlassian.net/browse/ES-15308",15308)</f>
        <v>15308</v>
      </c>
      <c r="B491" s="76" t="s">
        <v>634</v>
      </c>
      <c r="C491" s="76" t="s">
        <v>217</v>
      </c>
      <c r="D491" s="76" t="s">
        <v>304</v>
      </c>
      <c r="E491" s="84" t="s">
        <v>2</v>
      </c>
      <c r="F491" s="76"/>
      <c r="G491" s="76"/>
      <c r="H491" s="77"/>
      <c r="I491" s="2"/>
      <c r="J491" s="2"/>
    </row>
    <row r="492" spans="1:10" ht="13" x14ac:dyDescent="0.6">
      <c r="A492" s="81">
        <f>HYPERLINK("https://bluetooth.atlassian.net/browse/ES-15310",15310)</f>
        <v>15310</v>
      </c>
      <c r="B492" s="74" t="s">
        <v>634</v>
      </c>
      <c r="C492" s="74" t="s">
        <v>218</v>
      </c>
      <c r="D492" s="74" t="s">
        <v>304</v>
      </c>
      <c r="E492" s="82" t="s">
        <v>2</v>
      </c>
      <c r="F492" s="74"/>
      <c r="G492" s="74"/>
      <c r="H492" s="75"/>
      <c r="I492" s="2"/>
      <c r="J492" s="2"/>
    </row>
    <row r="493" spans="1:10" ht="13" x14ac:dyDescent="0.6">
      <c r="A493" s="83">
        <f>HYPERLINK("https://bluetooth.atlassian.net/browse/ES-15311",15311)</f>
        <v>15311</v>
      </c>
      <c r="B493" s="76" t="s">
        <v>634</v>
      </c>
      <c r="C493" s="76" t="s">
        <v>219</v>
      </c>
      <c r="D493" s="76" t="s">
        <v>304</v>
      </c>
      <c r="E493" s="84" t="s">
        <v>2</v>
      </c>
      <c r="F493" s="76"/>
      <c r="G493" s="76"/>
      <c r="H493" s="77"/>
      <c r="I493" s="2"/>
      <c r="J493" s="2"/>
    </row>
    <row r="494" spans="1:10" ht="13" x14ac:dyDescent="0.6">
      <c r="A494" s="81">
        <f>HYPERLINK("https://bluetooth.atlassian.net/browse/ES-15406",15406)</f>
        <v>15406</v>
      </c>
      <c r="B494" s="74" t="s">
        <v>634</v>
      </c>
      <c r="C494" s="74" t="s">
        <v>238</v>
      </c>
      <c r="D494" s="74" t="s">
        <v>304</v>
      </c>
      <c r="E494" s="82" t="s">
        <v>2</v>
      </c>
      <c r="F494" s="74"/>
      <c r="G494" s="74"/>
      <c r="H494" s="75"/>
      <c r="I494" s="2"/>
      <c r="J494" s="2"/>
    </row>
    <row r="495" spans="1:10" ht="13" x14ac:dyDescent="0.6">
      <c r="A495" s="83">
        <f>HYPERLINK("https://bluetooth.atlassian.net/browse/ES-15408",15408)</f>
        <v>15408</v>
      </c>
      <c r="B495" s="76" t="s">
        <v>634</v>
      </c>
      <c r="C495" s="76" t="s">
        <v>239</v>
      </c>
      <c r="D495" s="76" t="s">
        <v>304</v>
      </c>
      <c r="E495" s="84" t="s">
        <v>2</v>
      </c>
      <c r="F495" s="76"/>
      <c r="G495" s="76"/>
      <c r="H495" s="77"/>
      <c r="I495" s="2"/>
      <c r="J495" s="2"/>
    </row>
    <row r="496" spans="1:10" ht="13" x14ac:dyDescent="0.6">
      <c r="A496" s="81">
        <f>HYPERLINK("https://bluetooth.atlassian.net/browse/ES-15409",15409)</f>
        <v>15409</v>
      </c>
      <c r="B496" s="74" t="s">
        <v>634</v>
      </c>
      <c r="C496" s="74" t="s">
        <v>240</v>
      </c>
      <c r="D496" s="74" t="s">
        <v>304</v>
      </c>
      <c r="E496" s="82" t="s">
        <v>2</v>
      </c>
      <c r="F496" s="74"/>
      <c r="G496" s="74"/>
      <c r="H496" s="75"/>
      <c r="I496" s="2"/>
      <c r="J496" s="2"/>
    </row>
    <row r="497" spans="1:10" ht="13" x14ac:dyDescent="0.6">
      <c r="A497" s="83">
        <f>HYPERLINK("https://bluetooth.atlassian.net/browse/ES-15525",15525)</f>
        <v>15525</v>
      </c>
      <c r="B497" s="76" t="s">
        <v>634</v>
      </c>
      <c r="C497" s="76" t="s">
        <v>247</v>
      </c>
      <c r="D497" s="76" t="s">
        <v>304</v>
      </c>
      <c r="E497" s="84" t="s">
        <v>2</v>
      </c>
      <c r="F497" s="76"/>
      <c r="G497" s="76"/>
      <c r="H497" s="77"/>
      <c r="I497" s="2"/>
      <c r="J497" s="2"/>
    </row>
    <row r="498" spans="1:10" ht="13" x14ac:dyDescent="0.6">
      <c r="A498" s="81">
        <f>HYPERLINK("https://bluetooth.atlassian.net/browse/ES-15527",15527)</f>
        <v>15527</v>
      </c>
      <c r="B498" s="74" t="s">
        <v>634</v>
      </c>
      <c r="C498" s="74" t="s">
        <v>248</v>
      </c>
      <c r="D498" s="74" t="s">
        <v>304</v>
      </c>
      <c r="E498" s="82" t="s">
        <v>2</v>
      </c>
      <c r="F498" s="74"/>
      <c r="G498" s="74"/>
      <c r="H498" s="75"/>
      <c r="I498" s="2"/>
      <c r="J498" s="2"/>
    </row>
    <row r="499" spans="1:10" ht="13" x14ac:dyDescent="0.6">
      <c r="A499" s="83">
        <f>HYPERLINK("https://bluetooth.atlassian.net/browse/ES-15548",15548)</f>
        <v>15548</v>
      </c>
      <c r="B499" s="76" t="s">
        <v>634</v>
      </c>
      <c r="C499" s="76" t="s">
        <v>250</v>
      </c>
      <c r="D499" s="76" t="s">
        <v>304</v>
      </c>
      <c r="E499" s="84" t="s">
        <v>2</v>
      </c>
      <c r="F499" s="76"/>
      <c r="G499" s="76"/>
      <c r="H499" s="77"/>
      <c r="I499" s="2"/>
      <c r="J499" s="2"/>
    </row>
    <row r="500" spans="1:10" ht="13" x14ac:dyDescent="0.6">
      <c r="A500" s="81">
        <f>HYPERLINK("https://bluetooth.atlassian.net/browse/ES-15550",15550)</f>
        <v>15550</v>
      </c>
      <c r="B500" s="74" t="s">
        <v>634</v>
      </c>
      <c r="C500" s="74" t="s">
        <v>251</v>
      </c>
      <c r="D500" s="74" t="s">
        <v>304</v>
      </c>
      <c r="E500" s="82" t="s">
        <v>2</v>
      </c>
      <c r="F500" s="74"/>
      <c r="G500" s="74"/>
      <c r="H500" s="75"/>
      <c r="I500" s="2"/>
      <c r="J500" s="2"/>
    </row>
    <row r="501" spans="1:10" ht="13" x14ac:dyDescent="0.6">
      <c r="A501" s="83">
        <f>HYPERLINK("https://bluetooth.atlassian.net/browse/ES-15593",15593)</f>
        <v>15593</v>
      </c>
      <c r="B501" s="76" t="s">
        <v>634</v>
      </c>
      <c r="C501" s="76" t="s">
        <v>252</v>
      </c>
      <c r="D501" s="76" t="s">
        <v>304</v>
      </c>
      <c r="E501" s="84" t="s">
        <v>2</v>
      </c>
      <c r="F501" s="76"/>
      <c r="G501" s="76"/>
      <c r="H501" s="77"/>
      <c r="I501" s="2"/>
      <c r="J501" s="2"/>
    </row>
    <row r="502" spans="1:10" ht="13" x14ac:dyDescent="0.6">
      <c r="A502" s="81">
        <f>HYPERLINK("https://bluetooth.atlassian.net/browse/ES-15607",15607)</f>
        <v>15607</v>
      </c>
      <c r="B502" s="74" t="s">
        <v>634</v>
      </c>
      <c r="C502" s="74" t="s">
        <v>563</v>
      </c>
      <c r="D502" s="74" t="s">
        <v>304</v>
      </c>
      <c r="E502" s="82" t="s">
        <v>2</v>
      </c>
      <c r="F502" s="74"/>
      <c r="G502" s="74"/>
      <c r="H502" s="75"/>
      <c r="I502" s="2"/>
      <c r="J502" s="2"/>
    </row>
    <row r="503" spans="1:10" ht="13" x14ac:dyDescent="0.6">
      <c r="A503" s="83">
        <f>HYPERLINK("https://bluetooth.atlassian.net/browse/ES-15630",15630)</f>
        <v>15630</v>
      </c>
      <c r="B503" s="76" t="s">
        <v>634</v>
      </c>
      <c r="C503" s="76" t="s">
        <v>253</v>
      </c>
      <c r="D503" s="76" t="s">
        <v>304</v>
      </c>
      <c r="E503" s="84" t="s">
        <v>2</v>
      </c>
      <c r="F503" s="76"/>
      <c r="G503" s="76"/>
      <c r="H503" s="77"/>
      <c r="I503" s="2"/>
      <c r="J503" s="2"/>
    </row>
    <row r="504" spans="1:10" ht="13" x14ac:dyDescent="0.6">
      <c r="A504" s="81">
        <f>HYPERLINK("https://bluetooth.atlassian.net/browse/ES-15732",15732)</f>
        <v>15732</v>
      </c>
      <c r="B504" s="74" t="s">
        <v>634</v>
      </c>
      <c r="C504" s="74" t="s">
        <v>257</v>
      </c>
      <c r="D504" s="74" t="s">
        <v>304</v>
      </c>
      <c r="E504" s="82" t="s">
        <v>2</v>
      </c>
      <c r="F504" s="74"/>
      <c r="G504" s="74"/>
      <c r="H504" s="75"/>
      <c r="I504" s="2"/>
      <c r="J504" s="2"/>
    </row>
    <row r="505" spans="1:10" ht="13" x14ac:dyDescent="0.6">
      <c r="A505" s="83">
        <f>HYPERLINK("https://bluetooth.atlassian.net/browse/ES-15734",15734)</f>
        <v>15734</v>
      </c>
      <c r="B505" s="76" t="s">
        <v>634</v>
      </c>
      <c r="C505" s="76" t="s">
        <v>258</v>
      </c>
      <c r="D505" s="76" t="s">
        <v>304</v>
      </c>
      <c r="E505" s="84" t="s">
        <v>2</v>
      </c>
      <c r="F505" s="76"/>
      <c r="G505" s="76"/>
      <c r="H505" s="77"/>
      <c r="I505" s="2"/>
      <c r="J505" s="2"/>
    </row>
    <row r="506" spans="1:10" ht="13" x14ac:dyDescent="0.6">
      <c r="A506" s="81">
        <f>HYPERLINK("https://bluetooth.atlassian.net/browse/ES-15200",15200)</f>
        <v>15200</v>
      </c>
      <c r="B506" s="74" t="s">
        <v>634</v>
      </c>
      <c r="C506" s="74" t="s">
        <v>260</v>
      </c>
      <c r="D506" s="74" t="s">
        <v>304</v>
      </c>
      <c r="E506" s="82" t="s">
        <v>2</v>
      </c>
      <c r="F506" s="74"/>
      <c r="G506" s="74"/>
      <c r="H506" s="75"/>
      <c r="I506" s="2"/>
      <c r="J506" s="2"/>
    </row>
    <row r="507" spans="1:10" ht="13" x14ac:dyDescent="0.6">
      <c r="A507" s="83">
        <f>HYPERLINK("https://bluetooth.atlassian.net/browse/ES-15999",15999)</f>
        <v>15999</v>
      </c>
      <c r="B507" s="76" t="s">
        <v>634</v>
      </c>
      <c r="C507" s="76" t="s">
        <v>561</v>
      </c>
      <c r="D507" s="76" t="s">
        <v>304</v>
      </c>
      <c r="E507" s="84" t="s">
        <v>2</v>
      </c>
      <c r="F507" s="76"/>
      <c r="G507" s="76"/>
      <c r="H507" s="77"/>
      <c r="I507" s="2"/>
      <c r="J507" s="2"/>
    </row>
    <row r="508" spans="1:10" ht="13" x14ac:dyDescent="0.6">
      <c r="A508" s="81">
        <f>HYPERLINK("https://bluetooth.atlassian.net/browse/ES-16065",16065)</f>
        <v>16065</v>
      </c>
      <c r="B508" s="74" t="s">
        <v>634</v>
      </c>
      <c r="C508" s="74" t="s">
        <v>315</v>
      </c>
      <c r="D508" s="74" t="s">
        <v>304</v>
      </c>
      <c r="E508" s="82" t="s">
        <v>2</v>
      </c>
      <c r="F508" s="74"/>
      <c r="G508" s="74"/>
      <c r="H508" s="75"/>
      <c r="I508" s="2"/>
      <c r="J508" s="2"/>
    </row>
    <row r="509" spans="1:10" ht="13" x14ac:dyDescent="0.6">
      <c r="A509" s="83">
        <f>HYPERLINK("https://bluetooth.atlassian.net/browse/ES-16013",16013)</f>
        <v>16013</v>
      </c>
      <c r="B509" s="76" t="s">
        <v>634</v>
      </c>
      <c r="C509" s="76" t="s">
        <v>317</v>
      </c>
      <c r="D509" s="76" t="s">
        <v>304</v>
      </c>
      <c r="E509" s="84" t="s">
        <v>2</v>
      </c>
      <c r="F509" s="76"/>
      <c r="G509" s="76"/>
      <c r="H509" s="77"/>
      <c r="I509" s="2"/>
      <c r="J509" s="2"/>
    </row>
    <row r="510" spans="1:10" ht="13" x14ac:dyDescent="0.6">
      <c r="A510" s="81">
        <f>HYPERLINK("https://bluetooth.atlassian.net/browse/ES-16013",16013)</f>
        <v>16013</v>
      </c>
      <c r="B510" s="74" t="s">
        <v>634</v>
      </c>
      <c r="C510" s="74" t="s">
        <v>317</v>
      </c>
      <c r="D510" s="74" t="s">
        <v>304</v>
      </c>
      <c r="E510" s="82" t="s">
        <v>2</v>
      </c>
      <c r="F510" s="74"/>
      <c r="G510" s="74"/>
      <c r="H510" s="75"/>
      <c r="I510" s="2"/>
      <c r="J510" s="2"/>
    </row>
    <row r="511" spans="1:10" ht="13" x14ac:dyDescent="0.6">
      <c r="A511" s="83">
        <f>HYPERLINK("https://bluetooth.atlassian.net/browse/ES-16015",16015)</f>
        <v>16015</v>
      </c>
      <c r="B511" s="76" t="s">
        <v>634</v>
      </c>
      <c r="C511" s="76" t="s">
        <v>333</v>
      </c>
      <c r="D511" s="76" t="s">
        <v>304</v>
      </c>
      <c r="E511" s="84" t="s">
        <v>2</v>
      </c>
      <c r="F511" s="76"/>
      <c r="G511" s="76"/>
      <c r="H511" s="77"/>
      <c r="I511" s="2"/>
      <c r="J511" s="2"/>
    </row>
    <row r="512" spans="1:10" ht="13" x14ac:dyDescent="0.6">
      <c r="A512" s="81">
        <f>HYPERLINK("https://bluetooth.atlassian.net/browse/ES-16065",16065)</f>
        <v>16065</v>
      </c>
      <c r="B512" s="74" t="s">
        <v>634</v>
      </c>
      <c r="C512" s="74" t="s">
        <v>315</v>
      </c>
      <c r="D512" s="74" t="s">
        <v>304</v>
      </c>
      <c r="E512" s="82" t="s">
        <v>2</v>
      </c>
      <c r="F512" s="74"/>
      <c r="G512" s="74"/>
      <c r="H512" s="75"/>
      <c r="I512" s="2"/>
      <c r="J512" s="2"/>
    </row>
    <row r="513" spans="1:10" ht="13" x14ac:dyDescent="0.6">
      <c r="A513" s="83">
        <f>HYPERLINK("https://bluetooth.atlassian.net/browse/ES-16116",16116)</f>
        <v>16116</v>
      </c>
      <c r="B513" s="76" t="s">
        <v>634</v>
      </c>
      <c r="C513" s="76" t="s">
        <v>331</v>
      </c>
      <c r="D513" s="76" t="s">
        <v>304</v>
      </c>
      <c r="E513" s="84" t="s">
        <v>2</v>
      </c>
      <c r="F513" s="76"/>
      <c r="G513" s="76"/>
      <c r="H513" s="77"/>
      <c r="I513" s="2"/>
      <c r="J513" s="2"/>
    </row>
    <row r="514" spans="1:10" ht="13" x14ac:dyDescent="0.6">
      <c r="A514" s="81">
        <f>HYPERLINK("https://bluetooth.atlassian.net/browse/ES-16178",16178)</f>
        <v>16178</v>
      </c>
      <c r="B514" s="74" t="s">
        <v>634</v>
      </c>
      <c r="C514" s="74" t="s">
        <v>327</v>
      </c>
      <c r="D514" s="74" t="s">
        <v>304</v>
      </c>
      <c r="E514" s="82" t="s">
        <v>2</v>
      </c>
      <c r="F514" s="74"/>
      <c r="G514" s="74"/>
      <c r="H514" s="75"/>
      <c r="I514" s="2"/>
      <c r="J514" s="2"/>
    </row>
    <row r="515" spans="1:10" ht="13" x14ac:dyDescent="0.6">
      <c r="A515" s="83">
        <f>HYPERLINK("https://bluetooth.atlassian.net/browse/ES-16180",16180)</f>
        <v>16180</v>
      </c>
      <c r="B515" s="76" t="s">
        <v>634</v>
      </c>
      <c r="C515" s="76" t="s">
        <v>325</v>
      </c>
      <c r="D515" s="76" t="s">
        <v>304</v>
      </c>
      <c r="E515" s="84" t="s">
        <v>2</v>
      </c>
      <c r="F515" s="76"/>
      <c r="G515" s="76"/>
      <c r="H515" s="77"/>
      <c r="I515" s="2"/>
      <c r="J515" s="2"/>
    </row>
    <row r="516" spans="1:10" ht="13" x14ac:dyDescent="0.6">
      <c r="A516" s="81">
        <f>HYPERLINK("https://bluetooth.atlassian.net/browse/ES-16188",16188)</f>
        <v>16188</v>
      </c>
      <c r="B516" s="74" t="s">
        <v>634</v>
      </c>
      <c r="C516" s="74" t="s">
        <v>324</v>
      </c>
      <c r="D516" s="74" t="s">
        <v>304</v>
      </c>
      <c r="E516" s="82" t="s">
        <v>2</v>
      </c>
      <c r="F516" s="74"/>
      <c r="G516" s="74"/>
      <c r="H516" s="75"/>
      <c r="I516" s="2"/>
      <c r="J516" s="2"/>
    </row>
    <row r="517" spans="1:10" ht="13" x14ac:dyDescent="0.6">
      <c r="A517" s="83">
        <f>HYPERLINK("https://bluetooth.atlassian.net/browse/ES-16191",16191)</f>
        <v>16191</v>
      </c>
      <c r="B517" s="76" t="s">
        <v>634</v>
      </c>
      <c r="C517" s="76" t="s">
        <v>566</v>
      </c>
      <c r="D517" s="76" t="s">
        <v>304</v>
      </c>
      <c r="E517" s="84" t="s">
        <v>2</v>
      </c>
      <c r="F517" s="76"/>
      <c r="G517" s="76"/>
      <c r="H517" s="77"/>
      <c r="I517" s="2"/>
      <c r="J517" s="2"/>
    </row>
    <row r="518" spans="1:10" ht="13" x14ac:dyDescent="0.6">
      <c r="A518" s="81">
        <f>HYPERLINK("https://bluetooth.atlassian.net/browse/ES-16198",16198)</f>
        <v>16198</v>
      </c>
      <c r="B518" s="74" t="s">
        <v>634</v>
      </c>
      <c r="C518" s="74" t="s">
        <v>323</v>
      </c>
      <c r="D518" s="74" t="s">
        <v>304</v>
      </c>
      <c r="E518" s="82" t="s">
        <v>2</v>
      </c>
      <c r="F518" s="74"/>
      <c r="G518" s="74"/>
      <c r="H518" s="75"/>
      <c r="I518" s="2"/>
      <c r="J518" s="2"/>
    </row>
    <row r="519" spans="1:10" ht="13" x14ac:dyDescent="0.6">
      <c r="A519" s="83">
        <f>HYPERLINK("https://bluetooth.atlassian.net/browse/ES-16288",16288)</f>
        <v>16288</v>
      </c>
      <c r="B519" s="76" t="s">
        <v>634</v>
      </c>
      <c r="C519" s="76" t="s">
        <v>320</v>
      </c>
      <c r="D519" s="76" t="s">
        <v>304</v>
      </c>
      <c r="E519" s="84" t="s">
        <v>2</v>
      </c>
      <c r="F519" s="76"/>
      <c r="G519" s="76"/>
      <c r="H519" s="77"/>
      <c r="I519" s="2"/>
      <c r="J519" s="2"/>
    </row>
    <row r="520" spans="1:10" ht="13" x14ac:dyDescent="0.6">
      <c r="A520" s="81">
        <f>HYPERLINK("https://bluetooth.atlassian.net/browse/ES-16312",16312)</f>
        <v>16312</v>
      </c>
      <c r="B520" s="74" t="s">
        <v>634</v>
      </c>
      <c r="C520" s="74" t="s">
        <v>319</v>
      </c>
      <c r="D520" s="74" t="s">
        <v>304</v>
      </c>
      <c r="E520" s="82" t="s">
        <v>2</v>
      </c>
      <c r="F520" s="74"/>
      <c r="G520" s="74"/>
      <c r="H520" s="75"/>
      <c r="I520" s="2"/>
      <c r="J520" s="2"/>
    </row>
    <row r="521" spans="1:10" ht="13" x14ac:dyDescent="0.6">
      <c r="A521" s="83">
        <f>HYPERLINK("https://bluetooth.atlassian.net/browse/ES-16330",16330)</f>
        <v>16330</v>
      </c>
      <c r="B521" s="76" t="s">
        <v>634</v>
      </c>
      <c r="C521" s="76" t="s">
        <v>341</v>
      </c>
      <c r="D521" s="76" t="s">
        <v>304</v>
      </c>
      <c r="E521" s="84" t="s">
        <v>2</v>
      </c>
      <c r="F521" s="76"/>
      <c r="G521" s="76"/>
      <c r="H521" s="77"/>
      <c r="I521" s="2"/>
      <c r="J521" s="2"/>
    </row>
    <row r="522" spans="1:10" ht="13" x14ac:dyDescent="0.6">
      <c r="A522" s="81">
        <f>HYPERLINK("https://bluetooth.atlassian.net/browse/ES-16380 ",16380)</f>
        <v>16380</v>
      </c>
      <c r="B522" s="74" t="s">
        <v>634</v>
      </c>
      <c r="C522" s="74" t="s">
        <v>319</v>
      </c>
      <c r="D522" s="74" t="s">
        <v>304</v>
      </c>
      <c r="E522" s="82" t="s">
        <v>2</v>
      </c>
      <c r="F522" s="74"/>
      <c r="G522" s="74"/>
      <c r="H522" s="75"/>
      <c r="I522" s="2"/>
      <c r="J522" s="2"/>
    </row>
    <row r="523" spans="1:10" ht="13" x14ac:dyDescent="0.6">
      <c r="A523" s="83">
        <f>HYPERLINK("https://bluetooth.atlassian.net/browse/ES-16445 ",16445)</f>
        <v>16445</v>
      </c>
      <c r="B523" s="76" t="s">
        <v>634</v>
      </c>
      <c r="C523" s="76" t="s">
        <v>572</v>
      </c>
      <c r="D523" s="76" t="s">
        <v>304</v>
      </c>
      <c r="E523" s="84" t="s">
        <v>2</v>
      </c>
      <c r="F523" s="76"/>
      <c r="G523" s="76"/>
      <c r="H523" s="77"/>
      <c r="I523" s="2"/>
      <c r="J523" s="2"/>
    </row>
    <row r="524" spans="1:10" ht="13" x14ac:dyDescent="0.6">
      <c r="A524" s="81">
        <f>HYPERLINK("https://bluetooth.atlassian.net/browse/ES-16495 ",16495)</f>
        <v>16495</v>
      </c>
      <c r="B524" s="74" t="s">
        <v>634</v>
      </c>
      <c r="C524" s="74" t="s">
        <v>571</v>
      </c>
      <c r="D524" s="74" t="s">
        <v>304</v>
      </c>
      <c r="E524" s="82" t="s">
        <v>2</v>
      </c>
      <c r="F524" s="74"/>
      <c r="G524" s="74"/>
      <c r="H524" s="75"/>
      <c r="I524" s="2"/>
      <c r="J524" s="2"/>
    </row>
    <row r="525" spans="1:10" ht="13" x14ac:dyDescent="0.6">
      <c r="A525" s="83">
        <f>HYPERLINK("https://bluetooth.atlassian.net/browse/ES-16517 ",16517)</f>
        <v>16517</v>
      </c>
      <c r="B525" s="76" t="s">
        <v>634</v>
      </c>
      <c r="C525" s="76" t="s">
        <v>570</v>
      </c>
      <c r="D525" s="76" t="s">
        <v>304</v>
      </c>
      <c r="E525" s="84" t="s">
        <v>2</v>
      </c>
      <c r="F525" s="76"/>
      <c r="G525" s="76"/>
      <c r="H525" s="77"/>
      <c r="I525" s="2"/>
      <c r="J525" s="2"/>
    </row>
    <row r="526" spans="1:10" ht="13" x14ac:dyDescent="0.6">
      <c r="A526" s="81">
        <f>HYPERLINK("https://bluetooth.atlassian.net/browse/ES-16518 ",16518)</f>
        <v>16518</v>
      </c>
      <c r="B526" s="74" t="s">
        <v>634</v>
      </c>
      <c r="C526" s="74" t="s">
        <v>569</v>
      </c>
      <c r="D526" s="74" t="s">
        <v>304</v>
      </c>
      <c r="E526" s="82" t="s">
        <v>2</v>
      </c>
      <c r="F526" s="74"/>
      <c r="G526" s="74"/>
      <c r="H526" s="75"/>
      <c r="I526" s="2"/>
      <c r="J526" s="2"/>
    </row>
    <row r="527" spans="1:10" ht="13" x14ac:dyDescent="0.6">
      <c r="A527" s="83">
        <f>HYPERLINK("https://bluetooth.atlassian.net/browse/ES-16538 ",16538)</f>
        <v>16538</v>
      </c>
      <c r="B527" s="76" t="s">
        <v>634</v>
      </c>
      <c r="C527" s="76" t="s">
        <v>568</v>
      </c>
      <c r="D527" s="76" t="s">
        <v>304</v>
      </c>
      <c r="E527" s="84" t="s">
        <v>2</v>
      </c>
      <c r="F527" s="76"/>
      <c r="G527" s="76"/>
      <c r="H527" s="77"/>
      <c r="I527" s="2"/>
      <c r="J527" s="2"/>
    </row>
    <row r="528" spans="1:10" ht="13" x14ac:dyDescent="0.6">
      <c r="A528" s="81">
        <f>HYPERLINK("https://bluetooth.atlassian.net/browse/ES-16609 ",16609)</f>
        <v>16609</v>
      </c>
      <c r="B528" s="74" t="s">
        <v>634</v>
      </c>
      <c r="C528" s="74" t="s">
        <v>574</v>
      </c>
      <c r="D528" s="74" t="s">
        <v>304</v>
      </c>
      <c r="E528" s="82" t="s">
        <v>2</v>
      </c>
      <c r="F528" s="74"/>
      <c r="G528" s="74"/>
      <c r="H528" s="75"/>
      <c r="I528" s="2"/>
      <c r="J528" s="2"/>
    </row>
    <row r="529" spans="1:10" ht="13" x14ac:dyDescent="0.6">
      <c r="A529" s="83">
        <f>HYPERLINK("https://bluetooth.atlassian.net/browse/ES-16635 ",16635)</f>
        <v>16635</v>
      </c>
      <c r="B529" s="76" t="s">
        <v>634</v>
      </c>
      <c r="C529" s="76" t="s">
        <v>573</v>
      </c>
      <c r="D529" s="76" t="s">
        <v>304</v>
      </c>
      <c r="E529" s="84" t="s">
        <v>2</v>
      </c>
      <c r="F529" s="76"/>
      <c r="G529" s="76"/>
      <c r="H529" s="77"/>
      <c r="I529" s="2"/>
      <c r="J529" s="2"/>
    </row>
    <row r="530" spans="1:10" ht="13" x14ac:dyDescent="0.6">
      <c r="A530" s="81">
        <f>HYPERLINK("https://bluetooth.atlassian.net/browse/ES-11750",11750)</f>
        <v>11750</v>
      </c>
      <c r="B530" s="74" t="s">
        <v>635</v>
      </c>
      <c r="C530" s="74" t="s">
        <v>22</v>
      </c>
      <c r="D530" s="74" t="s">
        <v>305</v>
      </c>
      <c r="E530" s="82" t="s">
        <v>2</v>
      </c>
      <c r="F530" s="74"/>
      <c r="G530" s="74"/>
      <c r="H530" s="75" t="s">
        <v>204</v>
      </c>
      <c r="I530" s="2"/>
      <c r="J530" s="2"/>
    </row>
    <row r="531" spans="1:10" ht="13" x14ac:dyDescent="0.6">
      <c r="A531" s="83">
        <f>HYPERLINK("https://bluetooth.atlassian.net/browse/ES-10860 ",10860)</f>
        <v>10860</v>
      </c>
      <c r="B531" s="76" t="s">
        <v>633</v>
      </c>
      <c r="C531" s="76" t="s">
        <v>579</v>
      </c>
      <c r="D531" s="76" t="s">
        <v>304</v>
      </c>
      <c r="E531" s="84" t="s">
        <v>1</v>
      </c>
      <c r="F531" s="76">
        <v>1</v>
      </c>
      <c r="G531" s="89">
        <f>HYPERLINK("https://bluetooth.atlassian.net/browse/ES-16695",16695)</f>
        <v>16695</v>
      </c>
      <c r="H531" s="79" t="s">
        <v>1224</v>
      </c>
      <c r="I531" s="2"/>
      <c r="J531" s="2"/>
    </row>
    <row r="532" spans="1:10" ht="13" x14ac:dyDescent="0.6">
      <c r="A532" s="81">
        <f>HYPERLINK("https://bluetooth.atlassian.net/browse/ES-10843",10843)</f>
        <v>10843</v>
      </c>
      <c r="B532" s="74" t="s">
        <v>636</v>
      </c>
      <c r="C532" s="74" t="s">
        <v>11</v>
      </c>
      <c r="D532" s="74" t="s">
        <v>304</v>
      </c>
      <c r="E532" s="82" t="s">
        <v>2</v>
      </c>
      <c r="F532" s="74"/>
      <c r="G532" s="74"/>
      <c r="H532" s="75" t="s">
        <v>204</v>
      </c>
      <c r="I532" s="2"/>
      <c r="J532" s="2"/>
    </row>
    <row r="533" spans="1:10" ht="13" x14ac:dyDescent="0.6">
      <c r="A533" s="83">
        <f>HYPERLINK("https://bluetooth.atlassian.net/browse/ES-15643",15643)</f>
        <v>15643</v>
      </c>
      <c r="B533" s="76" t="s">
        <v>633</v>
      </c>
      <c r="C533" s="76" t="s">
        <v>256</v>
      </c>
      <c r="D533" s="76" t="s">
        <v>304</v>
      </c>
      <c r="E533" s="84" t="s">
        <v>2</v>
      </c>
      <c r="F533" s="76"/>
      <c r="G533" s="76"/>
      <c r="H533" s="77"/>
      <c r="I533" s="2"/>
      <c r="J533" s="2"/>
    </row>
    <row r="534" spans="1:10" ht="13" x14ac:dyDescent="0.6">
      <c r="A534" s="81">
        <f>HYPERLINK("https://bluetooth.atlassian.net/browse/ES-10843 ",10843)</f>
        <v>10843</v>
      </c>
      <c r="B534" s="74" t="s">
        <v>633</v>
      </c>
      <c r="C534" s="74" t="s">
        <v>11</v>
      </c>
      <c r="D534" s="74" t="s">
        <v>304</v>
      </c>
      <c r="E534" s="82" t="s">
        <v>2</v>
      </c>
      <c r="F534" s="74"/>
      <c r="G534" s="74"/>
      <c r="H534" s="75"/>
      <c r="I534" s="2"/>
      <c r="J534" s="2"/>
    </row>
    <row r="535" spans="1:10" ht="13" x14ac:dyDescent="0.6">
      <c r="A535" s="83">
        <f>HYPERLINK("https://bluetooth.atlassian.net/browse/ES-11059",11059)</f>
        <v>11059</v>
      </c>
      <c r="B535" s="76" t="s">
        <v>636</v>
      </c>
      <c r="C535" s="76" t="s">
        <v>12</v>
      </c>
      <c r="D535" s="76" t="s">
        <v>304</v>
      </c>
      <c r="E535" s="84" t="s">
        <v>2</v>
      </c>
      <c r="F535" s="76"/>
      <c r="G535" s="76"/>
      <c r="H535" s="77" t="s">
        <v>204</v>
      </c>
      <c r="I535" s="2"/>
      <c r="J535" s="2"/>
    </row>
    <row r="536" spans="1:10" ht="13" x14ac:dyDescent="0.6">
      <c r="A536" s="81">
        <f>HYPERLINK("https://bluetooth.atlassian.net/browse/ES-13036",13036)</f>
        <v>13036</v>
      </c>
      <c r="B536" s="74" t="s">
        <v>633</v>
      </c>
      <c r="C536" s="74" t="s">
        <v>69</v>
      </c>
      <c r="D536" s="74" t="s">
        <v>304</v>
      </c>
      <c r="E536" s="82" t="s">
        <v>2</v>
      </c>
      <c r="F536" s="74"/>
      <c r="G536" s="74"/>
      <c r="H536" s="75" t="s">
        <v>204</v>
      </c>
      <c r="I536" s="2"/>
      <c r="J536" s="2"/>
    </row>
    <row r="537" spans="1:10" ht="13" x14ac:dyDescent="0.6">
      <c r="A537" s="83">
        <f>HYPERLINK("https://bluetooth.atlassian.net/browse/ES-13150",13150)</f>
        <v>13150</v>
      </c>
      <c r="B537" s="76" t="s">
        <v>633</v>
      </c>
      <c r="C537" s="76" t="s">
        <v>78</v>
      </c>
      <c r="D537" s="76" t="s">
        <v>304</v>
      </c>
      <c r="E537" s="84" t="s">
        <v>2</v>
      </c>
      <c r="F537" s="76"/>
      <c r="G537" s="76"/>
      <c r="H537" s="77" t="s">
        <v>204</v>
      </c>
      <c r="I537" s="2"/>
      <c r="J537" s="2"/>
    </row>
    <row r="538" spans="1:10" ht="13" x14ac:dyDescent="0.6">
      <c r="A538" s="81">
        <f>HYPERLINK("https://bluetooth.atlassian.net/browse/ES-13151",13151)</f>
        <v>13151</v>
      </c>
      <c r="B538" s="74" t="s">
        <v>633</v>
      </c>
      <c r="C538" s="74" t="s">
        <v>79</v>
      </c>
      <c r="D538" s="74" t="s">
        <v>304</v>
      </c>
      <c r="E538" s="82" t="s">
        <v>2</v>
      </c>
      <c r="F538" s="74"/>
      <c r="G538" s="74"/>
      <c r="H538" s="75" t="s">
        <v>204</v>
      </c>
      <c r="I538" s="2"/>
      <c r="J538" s="2"/>
    </row>
    <row r="539" spans="1:10" ht="13" x14ac:dyDescent="0.6">
      <c r="A539" s="83">
        <f>HYPERLINK("https://bluetooth.atlassian.net/browse/ES-13152",13152)</f>
        <v>13152</v>
      </c>
      <c r="B539" s="76" t="s">
        <v>633</v>
      </c>
      <c r="C539" s="76" t="s">
        <v>80</v>
      </c>
      <c r="D539" s="76" t="s">
        <v>304</v>
      </c>
      <c r="E539" s="84" t="s">
        <v>2</v>
      </c>
      <c r="F539" s="76"/>
      <c r="G539" s="76"/>
      <c r="H539" s="77" t="s">
        <v>204</v>
      </c>
      <c r="I539" s="2"/>
      <c r="J539" s="2"/>
    </row>
    <row r="540" spans="1:10" ht="13" x14ac:dyDescent="0.6">
      <c r="A540" s="81">
        <f>HYPERLINK("https://bluetooth.atlassian.net/browse/ES-13153",13153)</f>
        <v>13153</v>
      </c>
      <c r="B540" s="74" t="s">
        <v>633</v>
      </c>
      <c r="C540" s="74" t="s">
        <v>79</v>
      </c>
      <c r="D540" s="74" t="s">
        <v>304</v>
      </c>
      <c r="E540" s="82" t="s">
        <v>2</v>
      </c>
      <c r="F540" s="74"/>
      <c r="G540" s="74"/>
      <c r="H540" s="75" t="s">
        <v>204</v>
      </c>
      <c r="I540" s="2"/>
      <c r="J540" s="2"/>
    </row>
    <row r="541" spans="1:10" ht="13" x14ac:dyDescent="0.6">
      <c r="A541" s="83">
        <f>HYPERLINK("https://bluetooth.atlassian.net/browse/ES-13155",13155)</f>
        <v>13155</v>
      </c>
      <c r="B541" s="76" t="s">
        <v>633</v>
      </c>
      <c r="C541" s="76" t="s">
        <v>81</v>
      </c>
      <c r="D541" s="76" t="s">
        <v>304</v>
      </c>
      <c r="E541" s="84" t="s">
        <v>2</v>
      </c>
      <c r="F541" s="76"/>
      <c r="G541" s="76"/>
      <c r="H541" s="77" t="s">
        <v>204</v>
      </c>
      <c r="I541" s="2"/>
      <c r="J541" s="2"/>
    </row>
    <row r="542" spans="1:10" ht="13" x14ac:dyDescent="0.6">
      <c r="A542" s="81">
        <f>HYPERLINK("https://bluetooth.atlassian.net/browse/ES-13511",13511)</f>
        <v>13511</v>
      </c>
      <c r="B542" s="74" t="s">
        <v>633</v>
      </c>
      <c r="C542" s="74" t="s">
        <v>130</v>
      </c>
      <c r="D542" s="74" t="s">
        <v>304</v>
      </c>
      <c r="E542" s="82" t="s">
        <v>2</v>
      </c>
      <c r="F542" s="74"/>
      <c r="G542" s="74"/>
      <c r="H542" s="75" t="s">
        <v>204</v>
      </c>
      <c r="I542" s="2"/>
      <c r="J542" s="2"/>
    </row>
    <row r="543" spans="1:10" ht="13" x14ac:dyDescent="0.6">
      <c r="A543" s="83">
        <f>HYPERLINK("https://bluetooth.atlassian.net/browse/ES-13592",13592)</f>
        <v>13592</v>
      </c>
      <c r="B543" s="76" t="s">
        <v>633</v>
      </c>
      <c r="C543" s="76" t="s">
        <v>542</v>
      </c>
      <c r="D543" s="76" t="s">
        <v>304</v>
      </c>
      <c r="E543" s="84" t="s">
        <v>2</v>
      </c>
      <c r="F543" s="76"/>
      <c r="G543" s="76"/>
      <c r="H543" s="77" t="s">
        <v>204</v>
      </c>
      <c r="I543" s="2"/>
      <c r="J543" s="2"/>
    </row>
    <row r="544" spans="1:10" ht="13" x14ac:dyDescent="0.6">
      <c r="A544" s="81">
        <f>HYPERLINK("https://bluetooth.atlassian.net/browse/ES-14934",14934)</f>
        <v>14934</v>
      </c>
      <c r="B544" s="74" t="s">
        <v>633</v>
      </c>
      <c r="C544" s="74" t="s">
        <v>171</v>
      </c>
      <c r="D544" s="74" t="s">
        <v>304</v>
      </c>
      <c r="E544" s="82" t="s">
        <v>2</v>
      </c>
      <c r="F544" s="74"/>
      <c r="G544" s="74"/>
      <c r="H544" s="75" t="s">
        <v>204</v>
      </c>
      <c r="I544" s="2"/>
      <c r="J544" s="2"/>
    </row>
    <row r="545" spans="1:10" ht="13" x14ac:dyDescent="0.6">
      <c r="A545" s="83">
        <f>HYPERLINK("https://bluetooth.atlassian.net/browse/ES-15254",15254)</f>
        <v>15254</v>
      </c>
      <c r="B545" s="76" t="s">
        <v>633</v>
      </c>
      <c r="C545" s="76" t="s">
        <v>206</v>
      </c>
      <c r="D545" s="76" t="s">
        <v>304</v>
      </c>
      <c r="E545" s="84" t="s">
        <v>2</v>
      </c>
      <c r="F545" s="76"/>
      <c r="G545" s="76"/>
      <c r="H545" s="77"/>
      <c r="I545" s="2"/>
      <c r="J545" s="2"/>
    </row>
    <row r="546" spans="1:10" ht="13" x14ac:dyDescent="0.6">
      <c r="A546" s="81">
        <f>HYPERLINK("https://bluetooth.atlassian.net/browse/ES-15315",15315)</f>
        <v>15315</v>
      </c>
      <c r="B546" s="74" t="s">
        <v>633</v>
      </c>
      <c r="C546" s="74" t="s">
        <v>220</v>
      </c>
      <c r="D546" s="74" t="s">
        <v>304</v>
      </c>
      <c r="E546" s="82" t="s">
        <v>2</v>
      </c>
      <c r="F546" s="74"/>
      <c r="G546" s="74"/>
      <c r="H546" s="75"/>
      <c r="I546" s="2"/>
      <c r="J546" s="2"/>
    </row>
    <row r="547" spans="1:10" ht="13" x14ac:dyDescent="0.6">
      <c r="A547" s="83">
        <f>HYPERLINK("https://bluetooth.atlassian.net/browse/ES-15382",15382)</f>
        <v>15382</v>
      </c>
      <c r="B547" s="76" t="s">
        <v>633</v>
      </c>
      <c r="C547" s="76" t="s">
        <v>236</v>
      </c>
      <c r="D547" s="76" t="s">
        <v>304</v>
      </c>
      <c r="E547" s="84" t="s">
        <v>2</v>
      </c>
      <c r="F547" s="76"/>
      <c r="G547" s="76"/>
      <c r="H547" s="77"/>
      <c r="I547" s="2"/>
      <c r="J547" s="2"/>
    </row>
    <row r="548" spans="1:10" ht="13" x14ac:dyDescent="0.6">
      <c r="A548" s="81">
        <f>HYPERLINK("https://bluetooth.atlassian.net/browse/ES-15464",15464)</f>
        <v>15464</v>
      </c>
      <c r="B548" s="74" t="s">
        <v>633</v>
      </c>
      <c r="C548" s="74" t="s">
        <v>242</v>
      </c>
      <c r="D548" s="74" t="s">
        <v>304</v>
      </c>
      <c r="E548" s="82" t="s">
        <v>2</v>
      </c>
      <c r="F548" s="74"/>
      <c r="G548" s="74"/>
      <c r="H548" s="75"/>
      <c r="I548" s="2"/>
      <c r="J548" s="2"/>
    </row>
    <row r="549" spans="1:10" ht="13" x14ac:dyDescent="0.6">
      <c r="A549" s="83">
        <f>HYPERLINK("https://bluetooth.atlassian.net/browse/ES-15496",15496)</f>
        <v>15496</v>
      </c>
      <c r="B549" s="76" t="s">
        <v>633</v>
      </c>
      <c r="C549" s="76" t="s">
        <v>243</v>
      </c>
      <c r="D549" s="76" t="s">
        <v>304</v>
      </c>
      <c r="E549" s="84" t="s">
        <v>2</v>
      </c>
      <c r="F549" s="76"/>
      <c r="G549" s="76"/>
      <c r="H549" s="77"/>
      <c r="I549" s="2"/>
      <c r="J549" s="2"/>
    </row>
    <row r="550" spans="1:10" ht="13" x14ac:dyDescent="0.6">
      <c r="A550" s="81">
        <f>HYPERLINK("https://bluetooth.atlassian.net/browse/ES-15507",15507)</f>
        <v>15507</v>
      </c>
      <c r="B550" s="74" t="s">
        <v>633</v>
      </c>
      <c r="C550" s="74" t="s">
        <v>244</v>
      </c>
      <c r="D550" s="74" t="s">
        <v>304</v>
      </c>
      <c r="E550" s="82" t="s">
        <v>2</v>
      </c>
      <c r="F550" s="74"/>
      <c r="G550" s="74"/>
      <c r="H550" s="75"/>
      <c r="I550" s="2"/>
      <c r="J550" s="2"/>
    </row>
    <row r="551" spans="1:10" ht="13" x14ac:dyDescent="0.6">
      <c r="A551" s="83">
        <f>HYPERLINK("https://bluetooth.atlassian.net/browse/ES-15508",15508)</f>
        <v>15508</v>
      </c>
      <c r="B551" s="76" t="s">
        <v>633</v>
      </c>
      <c r="C551" s="76" t="s">
        <v>245</v>
      </c>
      <c r="D551" s="76" t="s">
        <v>304</v>
      </c>
      <c r="E551" s="84" t="s">
        <v>2</v>
      </c>
      <c r="F551" s="76"/>
      <c r="G551" s="76"/>
      <c r="H551" s="77"/>
      <c r="I551" s="2"/>
      <c r="J551" s="2"/>
    </row>
    <row r="552" spans="1:10" ht="13" x14ac:dyDescent="0.6">
      <c r="A552" s="81">
        <f>HYPERLINK("https://bluetooth.atlassian.net/browse/ES-15513",15513)</f>
        <v>15513</v>
      </c>
      <c r="B552" s="74" t="s">
        <v>633</v>
      </c>
      <c r="C552" s="74" t="s">
        <v>246</v>
      </c>
      <c r="D552" s="74" t="s">
        <v>304</v>
      </c>
      <c r="E552" s="82" t="s">
        <v>2</v>
      </c>
      <c r="F552" s="74"/>
      <c r="G552" s="74"/>
      <c r="H552" s="75"/>
      <c r="I552" s="2"/>
      <c r="J552" s="2"/>
    </row>
    <row r="553" spans="1:10" ht="13" x14ac:dyDescent="0.6">
      <c r="A553" s="83">
        <f>HYPERLINK("https://bluetooth.atlassian.net/browse/ES-15597",15597)</f>
        <v>15597</v>
      </c>
      <c r="B553" s="76" t="s">
        <v>633</v>
      </c>
      <c r="C553" s="76" t="s">
        <v>545</v>
      </c>
      <c r="D553" s="76" t="s">
        <v>304</v>
      </c>
      <c r="E553" s="84" t="s">
        <v>2</v>
      </c>
      <c r="F553" s="76"/>
      <c r="G553" s="76"/>
      <c r="H553" s="77"/>
      <c r="I553" s="2"/>
      <c r="J553" s="2"/>
    </row>
    <row r="554" spans="1:10" ht="13" x14ac:dyDescent="0.6">
      <c r="A554" s="81">
        <f>HYPERLINK("https://bluetooth.atlassian.net/browse/ES-15622",15622)</f>
        <v>15622</v>
      </c>
      <c r="B554" s="74" t="s">
        <v>633</v>
      </c>
      <c r="C554" s="74" t="s">
        <v>544</v>
      </c>
      <c r="D554" s="74" t="s">
        <v>304</v>
      </c>
      <c r="E554" s="82" t="s">
        <v>2</v>
      </c>
      <c r="F554" s="74"/>
      <c r="G554" s="74"/>
      <c r="H554" s="75"/>
      <c r="I554" s="2"/>
      <c r="J554" s="2"/>
    </row>
    <row r="555" spans="1:10" ht="13" x14ac:dyDescent="0.6">
      <c r="A555" s="83">
        <f>HYPERLINK("https://bluetooth.atlassian.net/browse/ES-15631",15631)</f>
        <v>15631</v>
      </c>
      <c r="B555" s="76" t="s">
        <v>633</v>
      </c>
      <c r="C555" s="76" t="s">
        <v>254</v>
      </c>
      <c r="D555" s="76" t="s">
        <v>304</v>
      </c>
      <c r="E555" s="84" t="s">
        <v>2</v>
      </c>
      <c r="F555" s="76"/>
      <c r="G555" s="76"/>
      <c r="H555" s="77"/>
      <c r="I555" s="2"/>
      <c r="J555" s="2"/>
    </row>
    <row r="556" spans="1:10" ht="13" x14ac:dyDescent="0.6">
      <c r="A556" s="81">
        <f>HYPERLINK("https://bluetooth.atlassian.net/browse/ES-15632",15632)</f>
        <v>15632</v>
      </c>
      <c r="B556" s="74" t="s">
        <v>633</v>
      </c>
      <c r="C556" s="74" t="s">
        <v>255</v>
      </c>
      <c r="D556" s="74" t="s">
        <v>304</v>
      </c>
      <c r="E556" s="82" t="s">
        <v>2</v>
      </c>
      <c r="F556" s="74"/>
      <c r="G556" s="74"/>
      <c r="H556" s="75"/>
      <c r="I556" s="2"/>
      <c r="J556" s="2"/>
    </row>
    <row r="557" spans="1:10" ht="13" x14ac:dyDescent="0.6">
      <c r="A557" s="83">
        <f>HYPERLINK("https://bluetooth.atlassian.net/browse/ES-16671 ",16671)</f>
        <v>16671</v>
      </c>
      <c r="B557" s="76" t="s">
        <v>633</v>
      </c>
      <c r="C557" s="76" t="s">
        <v>601</v>
      </c>
      <c r="D557" s="76" t="s">
        <v>304</v>
      </c>
      <c r="E557" s="84" t="s">
        <v>2</v>
      </c>
      <c r="F557" s="76"/>
      <c r="G557" s="76"/>
      <c r="H557" s="77"/>
      <c r="I557" s="2"/>
      <c r="J557" s="2"/>
    </row>
    <row r="558" spans="1:10" ht="13" x14ac:dyDescent="0.6">
      <c r="A558" s="81">
        <f>HYPERLINK("https://bluetooth.atlassian.net/browse/ES-16672 ",16672)</f>
        <v>16672</v>
      </c>
      <c r="B558" s="74" t="s">
        <v>633</v>
      </c>
      <c r="C558" s="74" t="s">
        <v>602</v>
      </c>
      <c r="D558" s="74" t="s">
        <v>304</v>
      </c>
      <c r="E558" s="82" t="s">
        <v>2</v>
      </c>
      <c r="F558" s="74"/>
      <c r="G558" s="74"/>
      <c r="H558" s="75"/>
      <c r="I558" s="2"/>
      <c r="J558" s="2"/>
    </row>
    <row r="559" spans="1:10" ht="13" x14ac:dyDescent="0.6">
      <c r="A559" s="83">
        <f>HYPERLINK("https://bluetooth.atlassian.net/browse/ES-16673 ",16673)</f>
        <v>16673</v>
      </c>
      <c r="B559" s="76" t="s">
        <v>633</v>
      </c>
      <c r="C559" s="76" t="s">
        <v>603</v>
      </c>
      <c r="D559" s="76" t="s">
        <v>304</v>
      </c>
      <c r="E559" s="84" t="s">
        <v>2</v>
      </c>
      <c r="F559" s="76"/>
      <c r="G559" s="76"/>
      <c r="H559" s="77"/>
      <c r="I559" s="2"/>
      <c r="J559" s="2"/>
    </row>
    <row r="560" spans="1:10" ht="13" x14ac:dyDescent="0.6">
      <c r="A560" s="81">
        <f>HYPERLINK("https://bluetooth.atlassian.net/browse/ES-16674 ",16674)</f>
        <v>16674</v>
      </c>
      <c r="B560" s="74" t="s">
        <v>633</v>
      </c>
      <c r="C560" s="74" t="s">
        <v>605</v>
      </c>
      <c r="D560" s="74" t="s">
        <v>304</v>
      </c>
      <c r="E560" s="82" t="s">
        <v>2</v>
      </c>
      <c r="F560" s="74"/>
      <c r="G560" s="74"/>
      <c r="H560" s="75"/>
      <c r="I560" s="2"/>
      <c r="J560" s="2"/>
    </row>
    <row r="561" spans="1:10" ht="13" x14ac:dyDescent="0.6">
      <c r="A561" s="83">
        <f>HYPERLINK("https://bluetooth.atlassian.net/browse/ES-16675 ",16675)</f>
        <v>16675</v>
      </c>
      <c r="B561" s="76" t="s">
        <v>633</v>
      </c>
      <c r="C561" s="76" t="s">
        <v>604</v>
      </c>
      <c r="D561" s="76" t="s">
        <v>304</v>
      </c>
      <c r="E561" s="84" t="s">
        <v>2</v>
      </c>
      <c r="F561" s="76"/>
      <c r="G561" s="76"/>
      <c r="H561" s="77"/>
      <c r="I561" s="2"/>
      <c r="J561" s="2"/>
    </row>
    <row r="562" spans="1:10" ht="13" x14ac:dyDescent="0.6">
      <c r="A562" s="81">
        <f>HYPERLINK("https://bluetooth.atlassian.net/browse/ES-11059 ",11059)</f>
        <v>11059</v>
      </c>
      <c r="B562" s="74" t="s">
        <v>633</v>
      </c>
      <c r="C562" s="74" t="s">
        <v>12</v>
      </c>
      <c r="D562" s="74" t="s">
        <v>304</v>
      </c>
      <c r="E562" s="82" t="s">
        <v>2</v>
      </c>
      <c r="F562" s="74"/>
      <c r="G562" s="74"/>
      <c r="H562" s="75"/>
      <c r="I562" s="2"/>
      <c r="J562" s="2"/>
    </row>
    <row r="563" spans="1:10" ht="13" x14ac:dyDescent="0.6">
      <c r="A563" s="83">
        <f>HYPERLINK("https://bluetooth.atlassian.net/browse/ES-16796",16796)</f>
        <v>16796</v>
      </c>
      <c r="B563" s="76" t="s">
        <v>633</v>
      </c>
      <c r="C563" s="76" t="s">
        <v>617</v>
      </c>
      <c r="D563" s="76" t="s">
        <v>304</v>
      </c>
      <c r="E563" s="84" t="s">
        <v>2</v>
      </c>
      <c r="F563" s="76"/>
      <c r="G563" s="76"/>
      <c r="H563" s="77"/>
      <c r="I563" s="2"/>
      <c r="J563" s="2"/>
    </row>
    <row r="564" spans="1:10" ht="13" x14ac:dyDescent="0.6">
      <c r="A564" s="81">
        <f>HYPERLINK("https://bluetooth.atlassian.net/browse/ES-16817",16817)</f>
        <v>16817</v>
      </c>
      <c r="B564" s="74" t="s">
        <v>633</v>
      </c>
      <c r="C564" s="74" t="s">
        <v>616</v>
      </c>
      <c r="D564" s="74" t="s">
        <v>304</v>
      </c>
      <c r="E564" s="82" t="s">
        <v>2</v>
      </c>
      <c r="F564" s="74"/>
      <c r="G564" s="74"/>
      <c r="H564" s="75"/>
      <c r="I564" s="2"/>
      <c r="J564" s="2"/>
    </row>
    <row r="565" spans="1:10" ht="13" x14ac:dyDescent="0.6">
      <c r="A565" s="83">
        <f>HYPERLINK("https://bluetooth.atlassian.net/browse/ES-16825",16825)</f>
        <v>16825</v>
      </c>
      <c r="B565" s="76" t="s">
        <v>633</v>
      </c>
      <c r="C565" s="76" t="s">
        <v>615</v>
      </c>
      <c r="D565" s="76" t="s">
        <v>304</v>
      </c>
      <c r="E565" s="84" t="s">
        <v>2</v>
      </c>
      <c r="F565" s="76"/>
      <c r="G565" s="76"/>
      <c r="H565" s="77"/>
      <c r="I565" s="2"/>
      <c r="J565" s="2"/>
    </row>
    <row r="566" spans="1:10" ht="13" x14ac:dyDescent="0.6">
      <c r="A566" s="81">
        <f>HYPERLINK("https://bluetooth.atlassian.net/browse/ES-12250",12250)</f>
        <v>12250</v>
      </c>
      <c r="B566" s="74" t="s">
        <v>636</v>
      </c>
      <c r="C566" s="74" t="s">
        <v>40</v>
      </c>
      <c r="D566" s="74" t="s">
        <v>305</v>
      </c>
      <c r="E566" s="82" t="s">
        <v>2</v>
      </c>
      <c r="F566" s="74"/>
      <c r="G566" s="74"/>
      <c r="H566" s="75" t="s">
        <v>204</v>
      </c>
      <c r="I566" s="2"/>
      <c r="J566" s="2"/>
    </row>
    <row r="567" spans="1:10" ht="13" x14ac:dyDescent="0.6">
      <c r="A567" s="83">
        <f>HYPERLINK("https://bluetooth.atlassian.net/browse/ES-13058",13058)</f>
        <v>13058</v>
      </c>
      <c r="B567" s="76" t="s">
        <v>633</v>
      </c>
      <c r="C567" s="76" t="s">
        <v>70</v>
      </c>
      <c r="D567" s="76" t="s">
        <v>307</v>
      </c>
      <c r="E567" s="84" t="s">
        <v>2</v>
      </c>
      <c r="F567" s="76"/>
      <c r="G567" s="76"/>
      <c r="H567" s="77" t="s">
        <v>204</v>
      </c>
      <c r="I567" s="2"/>
      <c r="J567" s="2"/>
    </row>
    <row r="568" spans="1:10" ht="13" x14ac:dyDescent="0.6">
      <c r="A568" s="81">
        <f>HYPERLINK("https://bluetooth.atlassian.net/browse/ES-12797",12797)</f>
        <v>12797</v>
      </c>
      <c r="B568" s="74" t="s">
        <v>637</v>
      </c>
      <c r="C568" s="74" t="s">
        <v>62</v>
      </c>
      <c r="D568" s="74" t="s">
        <v>304</v>
      </c>
      <c r="E568" s="82" t="s">
        <v>2</v>
      </c>
      <c r="F568" s="74"/>
      <c r="G568" s="74"/>
      <c r="H568" s="75" t="s">
        <v>204</v>
      </c>
      <c r="I568" s="2"/>
      <c r="J568" s="2"/>
    </row>
    <row r="569" spans="1:10" ht="13" x14ac:dyDescent="0.6">
      <c r="A569" s="83">
        <f>HYPERLINK("https://bluetooth.atlassian.net/browse/ES-12800",12800)</f>
        <v>12800</v>
      </c>
      <c r="B569" s="76" t="s">
        <v>637</v>
      </c>
      <c r="C569" s="76" t="s">
        <v>63</v>
      </c>
      <c r="D569" s="76" t="s">
        <v>304</v>
      </c>
      <c r="E569" s="84" t="s">
        <v>2</v>
      </c>
      <c r="F569" s="76"/>
      <c r="G569" s="76"/>
      <c r="H569" s="77" t="s">
        <v>204</v>
      </c>
      <c r="I569" s="2"/>
      <c r="J569" s="2"/>
    </row>
    <row r="570" spans="1:10" ht="13" x14ac:dyDescent="0.6">
      <c r="A570" s="81">
        <f>HYPERLINK("https://bluetooth.atlassian.net/browse/ES-16039",16039)</f>
        <v>16039</v>
      </c>
      <c r="B570" s="74" t="s">
        <v>637</v>
      </c>
      <c r="C570" s="74" t="s">
        <v>560</v>
      </c>
      <c r="D570" s="74" t="s">
        <v>304</v>
      </c>
      <c r="E570" s="82" t="s">
        <v>2</v>
      </c>
      <c r="F570" s="74"/>
      <c r="G570" s="74"/>
      <c r="H570" s="75"/>
      <c r="I570" s="2"/>
      <c r="J570" s="2"/>
    </row>
    <row r="571" spans="1:10" ht="12" customHeight="1" x14ac:dyDescent="0.6">
      <c r="A571" s="83">
        <f>HYPERLINK("https://bluetooth.atlassian.net/browse/ES-16032",16032)</f>
        <v>16032</v>
      </c>
      <c r="B571" s="76" t="s">
        <v>637</v>
      </c>
      <c r="C571" s="76" t="s">
        <v>316</v>
      </c>
      <c r="D571" s="76" t="s">
        <v>304</v>
      </c>
      <c r="E571" s="84" t="s">
        <v>2</v>
      </c>
      <c r="F571" s="76"/>
      <c r="G571" s="76"/>
      <c r="H571" s="77"/>
      <c r="J571" s="2"/>
    </row>
    <row r="572" spans="1:10" ht="12" customHeight="1" x14ac:dyDescent="0.6">
      <c r="A572" s="81">
        <f>HYPERLINK("https://bluetooth.atlassian.net/browse/ES-16032",16032)</f>
        <v>16032</v>
      </c>
      <c r="B572" s="74" t="s">
        <v>637</v>
      </c>
      <c r="C572" s="74" t="s">
        <v>316</v>
      </c>
      <c r="D572" s="74" t="s">
        <v>304</v>
      </c>
      <c r="E572" s="82" t="s">
        <v>2</v>
      </c>
      <c r="F572" s="74"/>
      <c r="G572" s="74"/>
      <c r="H572" s="75"/>
    </row>
    <row r="573" spans="1:10" ht="12" customHeight="1" x14ac:dyDescent="0.6">
      <c r="A573" s="83">
        <f>HYPERLINK("https://bluetooth.atlassian.net/browse/ES-16039",16039)</f>
        <v>16039</v>
      </c>
      <c r="B573" s="76" t="s">
        <v>637</v>
      </c>
      <c r="C573" s="76" t="s">
        <v>560</v>
      </c>
      <c r="D573" s="76" t="s">
        <v>304</v>
      </c>
      <c r="E573" s="84" t="s">
        <v>2</v>
      </c>
      <c r="F573" s="76"/>
      <c r="G573" s="76"/>
      <c r="H573" s="77"/>
    </row>
    <row r="574" spans="1:10" ht="12" customHeight="1" x14ac:dyDescent="0.6">
      <c r="A574" s="81">
        <f>HYPERLINK("https://bluetooth.atlassian.net/browse/ES-16093",16093)</f>
        <v>16093</v>
      </c>
      <c r="B574" s="74" t="s">
        <v>637</v>
      </c>
      <c r="C574" s="74" t="s">
        <v>567</v>
      </c>
      <c r="D574" s="74" t="s">
        <v>304</v>
      </c>
      <c r="E574" s="82" t="s">
        <v>2</v>
      </c>
      <c r="F574" s="74"/>
      <c r="G574" s="74"/>
      <c r="H574" s="75"/>
    </row>
    <row r="575" spans="1:10" ht="12" customHeight="1" x14ac:dyDescent="0.6">
      <c r="A575" s="83">
        <f>HYPERLINK("https://bluetooth.atlassian.net/browse/ES-16129",16129)</f>
        <v>16129</v>
      </c>
      <c r="B575" s="76" t="s">
        <v>637</v>
      </c>
      <c r="C575" s="76" t="s">
        <v>330</v>
      </c>
      <c r="D575" s="76" t="s">
        <v>304</v>
      </c>
      <c r="E575" s="84" t="s">
        <v>2</v>
      </c>
      <c r="F575" s="76"/>
      <c r="G575" s="76"/>
      <c r="H575" s="77"/>
    </row>
    <row r="576" spans="1:10" ht="12" customHeight="1" x14ac:dyDescent="0.6">
      <c r="A576" s="81">
        <f>HYPERLINK("https://bluetooth.atlassian.net/browse/ES-16759",16759)</f>
        <v>16759</v>
      </c>
      <c r="B576" s="74" t="s">
        <v>637</v>
      </c>
      <c r="C576" s="74" t="s">
        <v>619</v>
      </c>
      <c r="D576" s="74" t="s">
        <v>304</v>
      </c>
      <c r="E576" s="82" t="s">
        <v>2</v>
      </c>
      <c r="F576" s="74"/>
      <c r="G576" s="74"/>
      <c r="H576" s="75"/>
    </row>
    <row r="577" spans="1:8" ht="12" customHeight="1" x14ac:dyDescent="0.6">
      <c r="A577" s="83">
        <f>HYPERLINK("https://bluetooth.atlassian.net/browse/ES-16793",16793)</f>
        <v>16793</v>
      </c>
      <c r="B577" s="76" t="s">
        <v>637</v>
      </c>
      <c r="C577" s="76" t="s">
        <v>571</v>
      </c>
      <c r="D577" s="76" t="s">
        <v>304</v>
      </c>
      <c r="E577" s="84" t="s">
        <v>2</v>
      </c>
      <c r="F577" s="76"/>
      <c r="G577" s="76"/>
      <c r="H577" s="77"/>
    </row>
    <row r="578" spans="1:8" ht="12" customHeight="1" x14ac:dyDescent="0.6">
      <c r="A578" s="81">
        <f>HYPERLINK("https://bluetooth.atlassian.net/browse/ES-16794",16794)</f>
        <v>16794</v>
      </c>
      <c r="B578" s="74" t="s">
        <v>637</v>
      </c>
      <c r="C578" s="74" t="s">
        <v>618</v>
      </c>
      <c r="D578" s="74" t="s">
        <v>304</v>
      </c>
      <c r="E578" s="82" t="s">
        <v>2</v>
      </c>
      <c r="F578" s="74"/>
      <c r="G578" s="74"/>
      <c r="H578" s="75"/>
    </row>
    <row r="579" spans="1:8" ht="12" customHeight="1" x14ac:dyDescent="0.6">
      <c r="A579" s="83">
        <f>HYPERLINK("https://bluetooth.atlassian.net/browse/ES-15851",15851)</f>
        <v>15851</v>
      </c>
      <c r="B579" s="76" t="s">
        <v>637</v>
      </c>
      <c r="C579" s="76" t="s">
        <v>336</v>
      </c>
      <c r="D579" s="76" t="s">
        <v>305</v>
      </c>
      <c r="E579" s="84" t="s">
        <v>2</v>
      </c>
      <c r="F579" s="76"/>
      <c r="G579" s="76"/>
      <c r="H579" s="77"/>
    </row>
    <row r="580" spans="1:8" ht="12" customHeight="1" x14ac:dyDescent="0.6">
      <c r="A580" s="81">
        <f>HYPERLINK("https://bluetooth.atlassian.net/browse/ES-16287",16287)</f>
        <v>16287</v>
      </c>
      <c r="B580" s="74" t="s">
        <v>637</v>
      </c>
      <c r="C580" s="74" t="s">
        <v>335</v>
      </c>
      <c r="D580" s="74" t="s">
        <v>305</v>
      </c>
      <c r="E580" s="82" t="s">
        <v>2</v>
      </c>
      <c r="F580" s="74"/>
      <c r="G580" s="74"/>
      <c r="H580" s="75"/>
    </row>
    <row r="581" spans="1:8" ht="12" customHeight="1" x14ac:dyDescent="0.6">
      <c r="A581" s="93">
        <f>HYPERLINK("https://bluetooth.atlassian.net/browse/ES-11164 ",11164)</f>
        <v>11164</v>
      </c>
      <c r="B581" s="76" t="s">
        <v>637</v>
      </c>
      <c r="C581" s="76" t="s">
        <v>578</v>
      </c>
      <c r="D581" s="76" t="s">
        <v>305</v>
      </c>
      <c r="E581" s="84" t="s">
        <v>2</v>
      </c>
      <c r="F581" s="76"/>
      <c r="G581" s="76"/>
      <c r="H581" s="77"/>
    </row>
    <row r="582" spans="1:8" ht="12" customHeight="1" x14ac:dyDescent="0.6">
      <c r="A582" s="81">
        <f>HYPERLINK("https://bluetooth.atlassian.net/browse/ES-15850",15850)</f>
        <v>15850</v>
      </c>
      <c r="B582" s="74" t="s">
        <v>638</v>
      </c>
      <c r="C582" s="74" t="s">
        <v>306</v>
      </c>
      <c r="D582" s="74" t="s">
        <v>305</v>
      </c>
      <c r="E582" s="82" t="s">
        <v>2</v>
      </c>
      <c r="F582" s="74"/>
      <c r="G582" s="74"/>
      <c r="H582" s="75"/>
    </row>
    <row r="583" spans="1:8" ht="12" customHeight="1" x14ac:dyDescent="0.6">
      <c r="A583" s="83">
        <f>HYPERLINK("https://bluetooth.atlassian.net/browse/ES-11702",11702)</f>
        <v>11702</v>
      </c>
      <c r="B583" s="76" t="s">
        <v>639</v>
      </c>
      <c r="C583" s="76" t="s">
        <v>19</v>
      </c>
      <c r="D583" s="76" t="s">
        <v>307</v>
      </c>
      <c r="E583" s="84" t="s">
        <v>1</v>
      </c>
      <c r="F583" s="76">
        <v>4</v>
      </c>
      <c r="G583" s="89">
        <f>HYPERLINK("https://bluetooth.atlassian.net/browse/ES-16290",16290)</f>
        <v>16290</v>
      </c>
      <c r="H583" s="79" t="s">
        <v>792</v>
      </c>
    </row>
    <row r="584" spans="1:8" ht="12" customHeight="1" x14ac:dyDescent="0.6">
      <c r="A584" s="178">
        <f>HYPERLINK("https://bluetooth.atlassian.net/browse/ES-12379",12379)</f>
        <v>12379</v>
      </c>
      <c r="B584" s="176" t="s">
        <v>640</v>
      </c>
      <c r="C584" s="176" t="s">
        <v>535</v>
      </c>
      <c r="D584" s="176" t="s">
        <v>305</v>
      </c>
      <c r="E584" s="177" t="s">
        <v>1</v>
      </c>
      <c r="F584" s="176" t="s">
        <v>299</v>
      </c>
      <c r="G584" s="85" t="str">
        <f>HYPERLINK("https://bluetooth.atlassian.net/browse/ES-13031","13031,")</f>
        <v>13031,</v>
      </c>
      <c r="H584" s="174" t="s">
        <v>1225</v>
      </c>
    </row>
    <row r="585" spans="1:8" ht="12" customHeight="1" x14ac:dyDescent="0.6">
      <c r="A585" s="172"/>
      <c r="B585" s="170"/>
      <c r="C585" s="170"/>
      <c r="D585" s="170"/>
      <c r="E585" s="172"/>
      <c r="F585" s="170"/>
      <c r="G585" s="85">
        <f>HYPERLINK("https://bluetooth.atlassian.net/browse/ES-14695",14695)</f>
        <v>14695</v>
      </c>
      <c r="H585" s="175"/>
    </row>
    <row r="586" spans="1:8" ht="12" customHeight="1" x14ac:dyDescent="0.6">
      <c r="A586" s="83">
        <f>HYPERLINK("https://bluetooth.atlassian.net/browse/ES-14945",14945)</f>
        <v>14945</v>
      </c>
      <c r="B586" s="76" t="s">
        <v>640</v>
      </c>
      <c r="C586" s="76" t="s">
        <v>172</v>
      </c>
      <c r="D586" s="76" t="s">
        <v>305</v>
      </c>
      <c r="E586" s="84" t="s">
        <v>2</v>
      </c>
      <c r="F586" s="76"/>
      <c r="G586" s="76"/>
      <c r="H586" s="79" t="s">
        <v>204</v>
      </c>
    </row>
    <row r="587" spans="1:8" ht="12" customHeight="1" x14ac:dyDescent="0.6">
      <c r="A587" s="81">
        <f>HYPERLINK("https://bluetooth.atlassian.net/browse/ES-11987",11987)</f>
        <v>11987</v>
      </c>
      <c r="B587" s="74" t="s">
        <v>30</v>
      </c>
      <c r="C587" s="74" t="s">
        <v>31</v>
      </c>
      <c r="D587" s="74" t="s">
        <v>305</v>
      </c>
      <c r="E587" s="82" t="s">
        <v>2</v>
      </c>
      <c r="F587" s="74"/>
      <c r="G587" s="74"/>
      <c r="H587" s="75" t="s">
        <v>204</v>
      </c>
    </row>
    <row r="588" spans="1:8" ht="15.75" customHeight="1" x14ac:dyDescent="0.6">
      <c r="A588" s="8"/>
    </row>
  </sheetData>
  <sortState xmlns:xlrd2="http://schemas.microsoft.com/office/spreadsheetml/2017/richdata2" ref="A4:H563">
    <sortCondition ref="B4:B563"/>
    <sortCondition descending="1" ref="E4:E563"/>
    <sortCondition ref="F4:F563"/>
    <sortCondition ref="D4:D563"/>
  </sortState>
  <customSheetViews>
    <customSheetView guid="{655390B4-4489-5947-8AE3-8EB981F4F264}" scale="128">
      <pane ySplit="3" topLeftCell="A423" activePane="bottomLeft" state="frozen"/>
      <selection pane="bottomLeft" activeCell="B444" sqref="B444"/>
      <pageMargins left="0.7" right="0.7" top="0.75" bottom="0.75" header="0.3" footer="0.3"/>
      <pageSetup paperSize="9" orientation="portrait" horizontalDpi="300" verticalDpi="300" r:id="rId1"/>
    </customSheetView>
    <customSheetView guid="{CADAEDA2-7BFF-4B6C-93AD-777D370C1699}" scale="128">
      <pane ySplit="3" topLeftCell="A4" activePane="bottomLeft" state="frozen"/>
      <selection pane="bottomLeft" activeCell="D479" sqref="D479"/>
      <pageMargins left="0.7" right="0.7" top="0.75" bottom="0.75" header="0.3" footer="0.3"/>
      <pageSetup paperSize="9" orientation="portrait" horizontalDpi="300" verticalDpi="300" r:id="rId2"/>
    </customSheetView>
  </customSheetViews>
  <mergeCells count="127">
    <mergeCell ref="H175:H176"/>
    <mergeCell ref="F175:F176"/>
    <mergeCell ref="E175:E176"/>
    <mergeCell ref="D175:D176"/>
    <mergeCell ref="C175:C176"/>
    <mergeCell ref="B175:B176"/>
    <mergeCell ref="A175:A176"/>
    <mergeCell ref="H177:H179"/>
    <mergeCell ref="F177:F179"/>
    <mergeCell ref="E177:E179"/>
    <mergeCell ref="D177:D179"/>
    <mergeCell ref="A177:A179"/>
    <mergeCell ref="B177:B179"/>
    <mergeCell ref="C177:C179"/>
    <mergeCell ref="A169:A172"/>
    <mergeCell ref="B169:B172"/>
    <mergeCell ref="C169:C172"/>
    <mergeCell ref="D169:D172"/>
    <mergeCell ref="E169:E172"/>
    <mergeCell ref="F169:F172"/>
    <mergeCell ref="H169:H172"/>
    <mergeCell ref="H173:H174"/>
    <mergeCell ref="F173:F174"/>
    <mergeCell ref="E173:E174"/>
    <mergeCell ref="D173:D174"/>
    <mergeCell ref="C173:C174"/>
    <mergeCell ref="B173:B174"/>
    <mergeCell ref="A173:A174"/>
    <mergeCell ref="A43:A44"/>
    <mergeCell ref="B43:B44"/>
    <mergeCell ref="C43:C44"/>
    <mergeCell ref="D43:D44"/>
    <mergeCell ref="E43:E44"/>
    <mergeCell ref="F48:F50"/>
    <mergeCell ref="H48:H50"/>
    <mergeCell ref="A51:A53"/>
    <mergeCell ref="B51:B53"/>
    <mergeCell ref="C51:C53"/>
    <mergeCell ref="D51:D53"/>
    <mergeCell ref="E51:E53"/>
    <mergeCell ref="F51:F53"/>
    <mergeCell ref="H51:H53"/>
    <mergeCell ref="A48:A50"/>
    <mergeCell ref="B48:B50"/>
    <mergeCell ref="C48:C50"/>
    <mergeCell ref="D48:D50"/>
    <mergeCell ref="E48:E50"/>
    <mergeCell ref="E290:E291"/>
    <mergeCell ref="F290:F291"/>
    <mergeCell ref="H290:H291"/>
    <mergeCell ref="D290:D291"/>
    <mergeCell ref="A290:A291"/>
    <mergeCell ref="B290:B291"/>
    <mergeCell ref="C290:C291"/>
    <mergeCell ref="A1:H1"/>
    <mergeCell ref="B41:B42"/>
    <mergeCell ref="A41:A42"/>
    <mergeCell ref="C41:C42"/>
    <mergeCell ref="D41:D42"/>
    <mergeCell ref="E41:E42"/>
    <mergeCell ref="F41:F42"/>
    <mergeCell ref="H41:H42"/>
    <mergeCell ref="F43:F44"/>
    <mergeCell ref="H43:H44"/>
    <mergeCell ref="A45:A47"/>
    <mergeCell ref="B45:B47"/>
    <mergeCell ref="C45:C47"/>
    <mergeCell ref="D45:D47"/>
    <mergeCell ref="E45:E47"/>
    <mergeCell ref="F45:F47"/>
    <mergeCell ref="H45:H47"/>
    <mergeCell ref="F308:F309"/>
    <mergeCell ref="H308:H309"/>
    <mergeCell ref="E310:E311"/>
    <mergeCell ref="F310:F311"/>
    <mergeCell ref="H310:H311"/>
    <mergeCell ref="A308:A309"/>
    <mergeCell ref="B308:B309"/>
    <mergeCell ref="C308:C309"/>
    <mergeCell ref="D308:D309"/>
    <mergeCell ref="E308:E309"/>
    <mergeCell ref="H363:H364"/>
    <mergeCell ref="E363:E364"/>
    <mergeCell ref="D363:D364"/>
    <mergeCell ref="C363:C364"/>
    <mergeCell ref="B363:B364"/>
    <mergeCell ref="D310:D311"/>
    <mergeCell ref="C310:C311"/>
    <mergeCell ref="B310:B311"/>
    <mergeCell ref="A310:A311"/>
    <mergeCell ref="F363:F364"/>
    <mergeCell ref="A363:A364"/>
    <mergeCell ref="B370:B371"/>
    <mergeCell ref="A370:A371"/>
    <mergeCell ref="H584:H585"/>
    <mergeCell ref="F584:F585"/>
    <mergeCell ref="E584:E585"/>
    <mergeCell ref="D584:D585"/>
    <mergeCell ref="C584:C585"/>
    <mergeCell ref="B584:B585"/>
    <mergeCell ref="A584:A585"/>
    <mergeCell ref="H408:H409"/>
    <mergeCell ref="F408:F409"/>
    <mergeCell ref="E408:E409"/>
    <mergeCell ref="D408:D409"/>
    <mergeCell ref="C408:C409"/>
    <mergeCell ref="B408:B409"/>
    <mergeCell ref="A408:A409"/>
    <mergeCell ref="H370:H371"/>
    <mergeCell ref="F370:F371"/>
    <mergeCell ref="E370:E371"/>
    <mergeCell ref="D370:D371"/>
    <mergeCell ref="C370:C371"/>
    <mergeCell ref="B410:B411"/>
    <mergeCell ref="A410:A411"/>
    <mergeCell ref="H412:H413"/>
    <mergeCell ref="F412:F413"/>
    <mergeCell ref="E412:E413"/>
    <mergeCell ref="D412:D413"/>
    <mergeCell ref="C412:C413"/>
    <mergeCell ref="B412:B413"/>
    <mergeCell ref="A412:A413"/>
    <mergeCell ref="H410:H411"/>
    <mergeCell ref="F410:F411"/>
    <mergeCell ref="E410:E411"/>
    <mergeCell ref="D410:D411"/>
    <mergeCell ref="C410:C411"/>
  </mergeCells>
  <conditionalFormatting sqref="E4:E41">
    <cfRule type="cellIs" dxfId="12" priority="29" operator="notEqual">
      <formula>"No"</formula>
    </cfRule>
  </conditionalFormatting>
  <conditionalFormatting sqref="E43 E45 E48 E51">
    <cfRule type="cellIs" dxfId="11" priority="70" operator="notEqual">
      <formula>"No"</formula>
    </cfRule>
  </conditionalFormatting>
  <conditionalFormatting sqref="E54:E169">
    <cfRule type="cellIs" dxfId="10" priority="21" operator="notEqual">
      <formula>"No"</formula>
    </cfRule>
  </conditionalFormatting>
  <conditionalFormatting sqref="E173 E175 E177">
    <cfRule type="cellIs" dxfId="9" priority="23" operator="notEqual">
      <formula>"No"</formula>
    </cfRule>
  </conditionalFormatting>
  <conditionalFormatting sqref="E180:E290">
    <cfRule type="cellIs" dxfId="8" priority="1" operator="notEqual">
      <formula>"No"</formula>
    </cfRule>
  </conditionalFormatting>
  <conditionalFormatting sqref="E292:E308 E310">
    <cfRule type="cellIs" dxfId="7" priority="17" operator="notEqual">
      <formula>"No"</formula>
    </cfRule>
  </conditionalFormatting>
  <conditionalFormatting sqref="E312:E363">
    <cfRule type="cellIs" dxfId="6" priority="12" operator="notEqual">
      <formula>"No"</formula>
    </cfRule>
  </conditionalFormatting>
  <conditionalFormatting sqref="E365:E370">
    <cfRule type="cellIs" dxfId="5" priority="14" operator="notEqual">
      <formula>"No"</formula>
    </cfRule>
  </conditionalFormatting>
  <conditionalFormatting sqref="E372:E408">
    <cfRule type="cellIs" dxfId="4" priority="9" operator="notEqual">
      <formula>"No"</formula>
    </cfRule>
  </conditionalFormatting>
  <conditionalFormatting sqref="E410 E412">
    <cfRule type="cellIs" dxfId="3" priority="11" operator="notEqual">
      <formula>"No"</formula>
    </cfRule>
  </conditionalFormatting>
  <conditionalFormatting sqref="E414:E584">
    <cfRule type="cellIs" dxfId="2" priority="3" operator="notEqual">
      <formula>"No"</formula>
    </cfRule>
  </conditionalFormatting>
  <conditionalFormatting sqref="E586:E587">
    <cfRule type="cellIs" dxfId="1" priority="2" operator="notEqual">
      <formula>"No"</formula>
    </cfRule>
  </conditionalFormatting>
  <dataValidations count="1">
    <dataValidation type="list" allowBlank="1" sqref="F3:H3 E3:E41 E43 E45 E48 E51 E54:E169 E173 E175 E177 E180:E290 E292:E308 E310 E312:E363 E365:E370 E372:E408 E410 E412 E414:E448" xr:uid="{00000000-0002-0000-0200-000000000000}">
      <formula1>#REF!</formula1>
    </dataValidation>
  </dataValidations>
  <hyperlinks>
    <hyperlink ref="G254" r:id="rId3" display="http://www.bluetooth.org/tse/errata_view.cfm?errata_id=16083" xr:uid="{00000000-0004-0000-0200-000000000000}"/>
    <hyperlink ref="G13" r:id="rId4" display="https://bluetooth.atlassian.net/browse/ES-15965" xr:uid="{00000000-0004-0000-0200-000001000000}"/>
    <hyperlink ref="G111" r:id="rId5" display="https://www.bluetooth.org/tse/errata_view.cfm?errata_id=15177" xr:uid="{00000000-0004-0000-0200-000002000000}"/>
    <hyperlink ref="G149" r:id="rId6" display="https://www.bluetooth.org/tse/errata_view.cfm?errata_id=16928" xr:uid="{00000000-0004-0000-0200-000003000000}"/>
  </hyperlinks>
  <pageMargins left="0.7" right="0.7" top="0.75" bottom="0.75" header="0.3" footer="0.3"/>
  <pageSetup paperSize="9" orientation="portrait" horizontalDpi="300" verticalDpi="300" r:id="rId7"/>
  <ignoredErrors>
    <ignoredError sqref="F48 F51 F45" twoDigitTextYear="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H552"/>
  <sheetViews>
    <sheetView zoomScaleNormal="100" workbookViewId="0">
      <pane ySplit="3" topLeftCell="A4" activePane="bottomLeft" state="frozen"/>
      <selection pane="bottomLeft" activeCell="A4" sqref="A4"/>
    </sheetView>
  </sheetViews>
  <sheetFormatPr defaultColWidth="14.40625" defaultRowHeight="15.75" customHeight="1" x14ac:dyDescent="0.6"/>
  <cols>
    <col min="1" max="1" width="10.54296875" style="25" customWidth="1"/>
    <col min="2" max="2" width="14.86328125" style="25" customWidth="1"/>
    <col min="3" max="3" width="59.1328125" style="23" customWidth="1"/>
    <col min="4" max="4" width="16.26953125" style="23" customWidth="1"/>
    <col min="5" max="5" width="14.54296875" style="24" customWidth="1"/>
    <col min="6" max="6" width="14.26953125" style="3" customWidth="1"/>
    <col min="7" max="7" width="14.40625" style="3" customWidth="1"/>
    <col min="8" max="8" width="43.86328125" style="23" customWidth="1"/>
    <col min="9" max="16384" width="14.40625" style="23"/>
  </cols>
  <sheetData>
    <row r="1" spans="1:8" ht="66.75" customHeight="1" thickBot="1" x14ac:dyDescent="0.75">
      <c r="A1" s="183" t="s">
        <v>786</v>
      </c>
      <c r="B1" s="184"/>
      <c r="C1" s="184"/>
      <c r="D1" s="184"/>
      <c r="E1" s="184"/>
      <c r="F1" s="184"/>
      <c r="G1" s="184"/>
      <c r="H1" s="185"/>
    </row>
    <row r="2" spans="1:8" ht="21" customHeight="1" x14ac:dyDescent="0.6">
      <c r="A2" s="31"/>
    </row>
    <row r="3" spans="1:8" s="30" customFormat="1" ht="24.75" customHeight="1" x14ac:dyDescent="0.6">
      <c r="A3" s="98" t="s">
        <v>775</v>
      </c>
      <c r="B3" s="99" t="s">
        <v>9</v>
      </c>
      <c r="C3" s="100" t="s">
        <v>3</v>
      </c>
      <c r="D3" s="101" t="s">
        <v>314</v>
      </c>
      <c r="E3" s="102" t="s">
        <v>0</v>
      </c>
      <c r="F3" s="101" t="s">
        <v>781</v>
      </c>
      <c r="G3" s="103" t="s">
        <v>780</v>
      </c>
      <c r="H3" s="100" t="s">
        <v>337</v>
      </c>
    </row>
    <row r="4" spans="1:8" ht="13" x14ac:dyDescent="0.6">
      <c r="A4" s="111">
        <f>HYPERLINK("https://bluetooth.atlassian.net/browse/ES-10961 ",10961)</f>
        <v>10961</v>
      </c>
      <c r="B4" s="112" t="s">
        <v>773</v>
      </c>
      <c r="C4" s="112" t="s">
        <v>774</v>
      </c>
      <c r="D4" s="112"/>
      <c r="E4" s="113" t="s">
        <v>2</v>
      </c>
      <c r="F4" s="114"/>
      <c r="G4" s="112"/>
      <c r="H4" s="112"/>
    </row>
    <row r="5" spans="1:8" ht="12.95" customHeight="1" x14ac:dyDescent="0.6">
      <c r="A5" s="107">
        <f>HYPERLINK("https://bluetooth.atlassian.net/browse/ES-11529 ",11529)</f>
        <v>11529</v>
      </c>
      <c r="B5" s="106" t="s">
        <v>773</v>
      </c>
      <c r="C5" s="106" t="s">
        <v>772</v>
      </c>
      <c r="D5" s="106"/>
      <c r="E5" s="108" t="s">
        <v>2</v>
      </c>
      <c r="F5" s="109"/>
      <c r="G5" s="106"/>
      <c r="H5" s="106"/>
    </row>
    <row r="6" spans="1:8" ht="13" x14ac:dyDescent="0.6">
      <c r="A6" s="111">
        <f>HYPERLINK("https://bluetooth.atlassian.net/browse/ES-11112 ",11112)</f>
        <v>11112</v>
      </c>
      <c r="B6" s="112" t="s">
        <v>770</v>
      </c>
      <c r="C6" s="112" t="s">
        <v>771</v>
      </c>
      <c r="D6" s="112"/>
      <c r="E6" s="113" t="s">
        <v>2</v>
      </c>
      <c r="F6" s="114"/>
      <c r="G6" s="112"/>
      <c r="H6" s="112"/>
    </row>
    <row r="7" spans="1:8" ht="26" x14ac:dyDescent="0.6">
      <c r="A7" s="107">
        <f>HYPERLINK("https://bluetooth.atlassian.net/browse/ES-12105 ",12105)</f>
        <v>12105</v>
      </c>
      <c r="B7" s="106" t="s">
        <v>770</v>
      </c>
      <c r="C7" s="106" t="s">
        <v>769</v>
      </c>
      <c r="D7" s="106"/>
      <c r="E7" s="108" t="s">
        <v>2</v>
      </c>
      <c r="F7" s="109"/>
      <c r="G7" s="106"/>
      <c r="H7" s="106"/>
    </row>
    <row r="8" spans="1:8" ht="13" x14ac:dyDescent="0.6">
      <c r="A8" s="111">
        <f>HYPERLINK("https://bluetooth.atlassian.net/browse/ES-11234 ",11234)</f>
        <v>11234</v>
      </c>
      <c r="B8" s="112" t="s">
        <v>765</v>
      </c>
      <c r="C8" s="112" t="s">
        <v>768</v>
      </c>
      <c r="D8" s="112"/>
      <c r="E8" s="113" t="s">
        <v>2</v>
      </c>
      <c r="F8" s="114"/>
      <c r="G8" s="112"/>
      <c r="H8" s="112"/>
    </row>
    <row r="9" spans="1:8" ht="13" x14ac:dyDescent="0.6">
      <c r="A9" s="107">
        <f>HYPERLINK("https://bluetooth.atlassian.net/browse/ES-11973 ",11973)</f>
        <v>11973</v>
      </c>
      <c r="B9" s="106" t="s">
        <v>765</v>
      </c>
      <c r="C9" s="106" t="s">
        <v>767</v>
      </c>
      <c r="D9" s="106"/>
      <c r="E9" s="108" t="s">
        <v>2</v>
      </c>
      <c r="F9" s="109"/>
      <c r="G9" s="106"/>
      <c r="H9" s="106"/>
    </row>
    <row r="10" spans="1:8" ht="12.95" customHeight="1" x14ac:dyDescent="0.6">
      <c r="A10" s="111">
        <f>HYPERLINK("https://bluetooth.atlassian.net/browse/ES-12035 ",12035)</f>
        <v>12035</v>
      </c>
      <c r="B10" s="112" t="s">
        <v>765</v>
      </c>
      <c r="C10" s="112" t="s">
        <v>766</v>
      </c>
      <c r="D10" s="112"/>
      <c r="E10" s="95" t="s">
        <v>1</v>
      </c>
      <c r="F10" s="114">
        <v>4</v>
      </c>
      <c r="G10" s="96">
        <f>HYPERLINK("https://bluetooth.atlassian.net/browse/ES-12162",12162)</f>
        <v>12162</v>
      </c>
      <c r="H10" s="112" t="s">
        <v>1226</v>
      </c>
    </row>
    <row r="11" spans="1:8" ht="13" x14ac:dyDescent="0.6">
      <c r="A11" s="107">
        <f>HYPERLINK("https://bluetooth.atlassian.net/browse/ES-12445 ",12445)</f>
        <v>12445</v>
      </c>
      <c r="B11" s="106" t="s">
        <v>765</v>
      </c>
      <c r="C11" s="106" t="s">
        <v>764</v>
      </c>
      <c r="D11" s="106"/>
      <c r="E11" s="108" t="s">
        <v>2</v>
      </c>
      <c r="F11" s="109"/>
      <c r="G11" s="106"/>
      <c r="H11" s="106"/>
    </row>
    <row r="12" spans="1:8" ht="26" x14ac:dyDescent="0.6">
      <c r="A12" s="111">
        <f>HYPERLINK("https://bluetooth.atlassian.net/browse/ES-10985 ",10985)</f>
        <v>10985</v>
      </c>
      <c r="B12" s="112" t="s">
        <v>763</v>
      </c>
      <c r="C12" s="112" t="s">
        <v>762</v>
      </c>
      <c r="D12" s="112"/>
      <c r="E12" s="113" t="s">
        <v>2</v>
      </c>
      <c r="F12" s="114"/>
      <c r="G12" s="112"/>
      <c r="H12" s="112"/>
    </row>
    <row r="13" spans="1:8" ht="26" x14ac:dyDescent="0.6">
      <c r="A13" s="107">
        <f>HYPERLINK("https://bluetooth.atlassian.net/browse/ES-11533 ",11533)</f>
        <v>11533</v>
      </c>
      <c r="B13" s="106" t="s">
        <v>8</v>
      </c>
      <c r="C13" s="106" t="s">
        <v>761</v>
      </c>
      <c r="D13" s="106"/>
      <c r="E13" s="94" t="s">
        <v>1</v>
      </c>
      <c r="F13" s="109">
        <v>2</v>
      </c>
      <c r="G13" s="97">
        <f>HYPERLINK("https://bluetooth.atlassian.net/browse/ES-13120",13120)</f>
        <v>13120</v>
      </c>
      <c r="H13" s="106" t="s">
        <v>1227</v>
      </c>
    </row>
    <row r="14" spans="1:8" ht="12.95" customHeight="1" x14ac:dyDescent="0.6">
      <c r="A14" s="111">
        <f>HYPERLINK("https://bluetooth.atlassian.net/browse/ES-10984 ",10984)</f>
        <v>10984</v>
      </c>
      <c r="B14" s="112" t="s">
        <v>759</v>
      </c>
      <c r="C14" s="112" t="s">
        <v>760</v>
      </c>
      <c r="D14" s="112"/>
      <c r="E14" s="113" t="s">
        <v>2</v>
      </c>
      <c r="F14" s="114"/>
      <c r="G14" s="112"/>
      <c r="H14" s="112"/>
    </row>
    <row r="15" spans="1:8" ht="12.95" customHeight="1" x14ac:dyDescent="0.6">
      <c r="A15" s="107">
        <f>HYPERLINK("https://bluetooth.atlassian.net/browse/ES-11731 ",11731)</f>
        <v>11731</v>
      </c>
      <c r="B15" s="106" t="s">
        <v>759</v>
      </c>
      <c r="C15" s="106" t="s">
        <v>758</v>
      </c>
      <c r="D15" s="106"/>
      <c r="E15" s="108" t="s">
        <v>2</v>
      </c>
      <c r="F15" s="109"/>
      <c r="G15" s="106"/>
      <c r="H15" s="106"/>
    </row>
    <row r="16" spans="1:8" ht="12.95" customHeight="1" x14ac:dyDescent="0.6">
      <c r="A16" s="111">
        <f>HYPERLINK("https://bluetooth.atlassian.net/browse/ES-6375 ",6375)</f>
        <v>6375</v>
      </c>
      <c r="B16" s="112" t="s">
        <v>751</v>
      </c>
      <c r="C16" s="112" t="s">
        <v>757</v>
      </c>
      <c r="D16" s="112"/>
      <c r="E16" s="113" t="s">
        <v>2</v>
      </c>
      <c r="F16" s="114"/>
      <c r="G16" s="112"/>
      <c r="H16" s="112"/>
    </row>
    <row r="17" spans="1:8" ht="12.95" customHeight="1" x14ac:dyDescent="0.6">
      <c r="A17" s="107">
        <f>HYPERLINK("https://bluetooth.atlassian.net/browse/ES-10940 ",10940)</f>
        <v>10940</v>
      </c>
      <c r="B17" s="106" t="s">
        <v>751</v>
      </c>
      <c r="C17" s="106" t="s">
        <v>756</v>
      </c>
      <c r="D17" s="106"/>
      <c r="E17" s="108" t="s">
        <v>2</v>
      </c>
      <c r="F17" s="109"/>
      <c r="G17" s="106"/>
      <c r="H17" s="106"/>
    </row>
    <row r="18" spans="1:8" ht="12.95" customHeight="1" x14ac:dyDescent="0.6">
      <c r="A18" s="111">
        <f>HYPERLINK("https://bluetooth.atlassian.net/browse/ES-11118 ",11118)</f>
        <v>11118</v>
      </c>
      <c r="B18" s="112" t="s">
        <v>751</v>
      </c>
      <c r="C18" s="112" t="s">
        <v>755</v>
      </c>
      <c r="D18" s="112"/>
      <c r="E18" s="113" t="s">
        <v>2</v>
      </c>
      <c r="F18" s="114"/>
      <c r="G18" s="112"/>
      <c r="H18" s="112"/>
    </row>
    <row r="19" spans="1:8" ht="12.95" customHeight="1" x14ac:dyDescent="0.6">
      <c r="A19" s="107">
        <f>HYPERLINK("https://bluetooth.atlassian.net/browse/ES-11294 ",11294)</f>
        <v>11294</v>
      </c>
      <c r="B19" s="106" t="s">
        <v>751</v>
      </c>
      <c r="C19" s="106" t="s">
        <v>754</v>
      </c>
      <c r="D19" s="106"/>
      <c r="E19" s="108" t="s">
        <v>2</v>
      </c>
      <c r="F19" s="109"/>
      <c r="G19" s="106"/>
      <c r="H19" s="106"/>
    </row>
    <row r="20" spans="1:8" ht="13" x14ac:dyDescent="0.6">
      <c r="A20" s="111">
        <f>HYPERLINK("https://bluetooth.atlassian.net/browse/ES-11419 ",11419)</f>
        <v>11419</v>
      </c>
      <c r="B20" s="112" t="s">
        <v>751</v>
      </c>
      <c r="C20" s="112" t="s">
        <v>753</v>
      </c>
      <c r="D20" s="112"/>
      <c r="E20" s="113" t="s">
        <v>2</v>
      </c>
      <c r="F20" s="114"/>
      <c r="G20" s="112"/>
      <c r="H20" s="112"/>
    </row>
    <row r="21" spans="1:8" ht="26" x14ac:dyDescent="0.6">
      <c r="A21" s="107">
        <f>HYPERLINK("https://bluetooth.atlassian.net/browse/ES-12377 ",12377)</f>
        <v>12377</v>
      </c>
      <c r="B21" s="106" t="s">
        <v>751</v>
      </c>
      <c r="C21" s="106" t="s">
        <v>752</v>
      </c>
      <c r="D21" s="106"/>
      <c r="E21" s="108" t="s">
        <v>2</v>
      </c>
      <c r="F21" s="109"/>
      <c r="G21" s="106"/>
      <c r="H21" s="106"/>
    </row>
    <row r="22" spans="1:8" ht="26" x14ac:dyDescent="0.6">
      <c r="A22" s="111">
        <f>HYPERLINK("https://bluetooth.atlassian.net/browse/ES-12725 ",12725)</f>
        <v>12725</v>
      </c>
      <c r="B22" s="112" t="s">
        <v>751</v>
      </c>
      <c r="C22" s="112" t="s">
        <v>750</v>
      </c>
      <c r="D22" s="112"/>
      <c r="E22" s="95" t="s">
        <v>1</v>
      </c>
      <c r="F22" s="114">
        <v>1</v>
      </c>
      <c r="G22" s="96">
        <f>HYPERLINK("https://bluetooth.atlassian.net/browse/ES-13090",13090)</f>
        <v>13090</v>
      </c>
      <c r="H22" s="112" t="s">
        <v>1120</v>
      </c>
    </row>
    <row r="23" spans="1:8" ht="26" x14ac:dyDescent="0.6">
      <c r="A23" s="107">
        <f>HYPERLINK("https://bluetooth.atlassian.net/browse/ES-10925 ",10925)</f>
        <v>10925</v>
      </c>
      <c r="B23" s="106" t="s">
        <v>746</v>
      </c>
      <c r="C23" s="106" t="s">
        <v>749</v>
      </c>
      <c r="D23" s="106"/>
      <c r="E23" s="108" t="s">
        <v>2</v>
      </c>
      <c r="F23" s="109"/>
      <c r="G23" s="106"/>
      <c r="H23" s="106"/>
    </row>
    <row r="24" spans="1:8" ht="13" x14ac:dyDescent="0.6">
      <c r="A24" s="111">
        <f>HYPERLINK("https://bluetooth.atlassian.net/browse/ES-10926 ",10926)</f>
        <v>10926</v>
      </c>
      <c r="B24" s="112" t="s">
        <v>746</v>
      </c>
      <c r="C24" s="112" t="s">
        <v>748</v>
      </c>
      <c r="D24" s="112"/>
      <c r="E24" s="113" t="s">
        <v>2</v>
      </c>
      <c r="F24" s="114"/>
      <c r="G24" s="112"/>
      <c r="H24" s="112"/>
    </row>
    <row r="25" spans="1:8" ht="26" x14ac:dyDescent="0.6">
      <c r="A25" s="107">
        <f>HYPERLINK("https://bluetooth.atlassian.net/browse/ES-10937",10937)</f>
        <v>10937</v>
      </c>
      <c r="B25" s="106" t="s">
        <v>746</v>
      </c>
      <c r="C25" s="106" t="s">
        <v>747</v>
      </c>
      <c r="D25" s="106"/>
      <c r="E25" s="108" t="s">
        <v>2</v>
      </c>
      <c r="F25" s="109"/>
      <c r="G25" s="106"/>
      <c r="H25" s="106"/>
    </row>
    <row r="26" spans="1:8" ht="13" x14ac:dyDescent="0.6">
      <c r="A26" s="111">
        <f>HYPERLINK("https://bluetooth.atlassian.net/browse/ES-11187 ",11187)</f>
        <v>11187</v>
      </c>
      <c r="B26" s="112" t="s">
        <v>746</v>
      </c>
      <c r="C26" s="112" t="s">
        <v>745</v>
      </c>
      <c r="D26" s="112"/>
      <c r="E26" s="113" t="s">
        <v>2</v>
      </c>
      <c r="F26" s="114"/>
      <c r="G26" s="112"/>
      <c r="H26" s="112"/>
    </row>
    <row r="27" spans="1:8" ht="13" x14ac:dyDescent="0.6">
      <c r="A27" s="107">
        <f>HYPERLINK("https://bluetooth.atlassian.net/browse/ES-10825 ",10825)</f>
        <v>10825</v>
      </c>
      <c r="B27" s="106" t="s">
        <v>715</v>
      </c>
      <c r="C27" s="106" t="s">
        <v>744</v>
      </c>
      <c r="D27" s="106"/>
      <c r="E27" s="108" t="s">
        <v>2</v>
      </c>
      <c r="F27" s="109"/>
      <c r="G27" s="106"/>
      <c r="H27" s="106"/>
    </row>
    <row r="28" spans="1:8" ht="13" x14ac:dyDescent="0.6">
      <c r="A28" s="111">
        <f>HYPERLINK("https://bluetooth.atlassian.net/browse/ES-10861 ",10861)</f>
        <v>10861</v>
      </c>
      <c r="B28" s="112" t="s">
        <v>715</v>
      </c>
      <c r="C28" s="112" t="s">
        <v>743</v>
      </c>
      <c r="D28" s="112"/>
      <c r="E28" s="113" t="s">
        <v>2</v>
      </c>
      <c r="F28" s="114"/>
      <c r="G28" s="112"/>
      <c r="H28" s="112"/>
    </row>
    <row r="29" spans="1:8" ht="13" x14ac:dyDescent="0.6">
      <c r="A29" s="107">
        <f>HYPERLINK("https://bluetooth.atlassian.net/browse/ES-10987 ",10987)</f>
        <v>10987</v>
      </c>
      <c r="B29" s="106" t="s">
        <v>715</v>
      </c>
      <c r="C29" s="106" t="s">
        <v>742</v>
      </c>
      <c r="D29" s="106"/>
      <c r="E29" s="108" t="s">
        <v>2</v>
      </c>
      <c r="F29" s="109"/>
      <c r="G29" s="106"/>
      <c r="H29" s="106"/>
    </row>
    <row r="30" spans="1:8" ht="26" x14ac:dyDescent="0.6">
      <c r="A30" s="111">
        <f>HYPERLINK("https://bluetooth.atlassian.net/browse/ES-11044 ",11044)</f>
        <v>11044</v>
      </c>
      <c r="B30" s="112" t="s">
        <v>715</v>
      </c>
      <c r="C30" s="112" t="s">
        <v>741</v>
      </c>
      <c r="D30" s="112"/>
      <c r="E30" s="113" t="s">
        <v>2</v>
      </c>
      <c r="F30" s="114"/>
      <c r="G30" s="112"/>
      <c r="H30" s="112"/>
    </row>
    <row r="31" spans="1:8" ht="12.95" customHeight="1" x14ac:dyDescent="0.6">
      <c r="A31" s="107">
        <f>HYPERLINK("https://bluetooth.atlassian.net/browse/ES-11117 ",11117)</f>
        <v>11117</v>
      </c>
      <c r="B31" s="106" t="s">
        <v>715</v>
      </c>
      <c r="C31" s="106" t="s">
        <v>740</v>
      </c>
      <c r="D31" s="106"/>
      <c r="E31" s="108" t="s">
        <v>2</v>
      </c>
      <c r="F31" s="109"/>
      <c r="G31" s="106"/>
      <c r="H31" s="106"/>
    </row>
    <row r="32" spans="1:8" ht="12.95" customHeight="1" x14ac:dyDescent="0.6">
      <c r="A32" s="111">
        <f>HYPERLINK("https://bluetooth.atlassian.net/browse/ES-11124 ",11124)</f>
        <v>11124</v>
      </c>
      <c r="B32" s="112" t="s">
        <v>715</v>
      </c>
      <c r="C32" s="112" t="s">
        <v>739</v>
      </c>
      <c r="D32" s="112"/>
      <c r="E32" s="95" t="s">
        <v>1</v>
      </c>
      <c r="F32" s="114">
        <v>4</v>
      </c>
      <c r="G32" s="96">
        <f>HYPERLINK("https://bluetooth.atlassian.net/browse/ES-11959",11959)</f>
        <v>11959</v>
      </c>
      <c r="H32" s="112" t="s">
        <v>1152</v>
      </c>
    </row>
    <row r="33" spans="1:8" ht="13" x14ac:dyDescent="0.6">
      <c r="A33" s="107">
        <f>HYPERLINK("https://bluetooth.atlassian.net/browse/ES-11226 ",11226)</f>
        <v>11226</v>
      </c>
      <c r="B33" s="106" t="s">
        <v>715</v>
      </c>
      <c r="C33" s="106" t="s">
        <v>738</v>
      </c>
      <c r="D33" s="106"/>
      <c r="E33" s="108" t="s">
        <v>2</v>
      </c>
      <c r="F33" s="109"/>
      <c r="G33" s="106"/>
      <c r="H33" s="106"/>
    </row>
    <row r="34" spans="1:8" ht="39" x14ac:dyDescent="0.6">
      <c r="A34" s="111">
        <f>HYPERLINK("https://bluetooth.atlassian.net/browse/ES-11347 ",11347)</f>
        <v>11347</v>
      </c>
      <c r="B34" s="112" t="s">
        <v>715</v>
      </c>
      <c r="C34" s="112" t="s">
        <v>737</v>
      </c>
      <c r="D34" s="112"/>
      <c r="E34" s="113" t="s">
        <v>2</v>
      </c>
      <c r="F34" s="114"/>
      <c r="G34" s="112"/>
      <c r="H34" s="112"/>
    </row>
    <row r="35" spans="1:8" ht="12.95" customHeight="1" x14ac:dyDescent="0.6">
      <c r="A35" s="107">
        <f>HYPERLINK("https://bluetooth.atlassian.net/browse/ES-11348 ",11348)</f>
        <v>11348</v>
      </c>
      <c r="B35" s="106" t="s">
        <v>715</v>
      </c>
      <c r="C35" s="106" t="s">
        <v>736</v>
      </c>
      <c r="D35" s="106"/>
      <c r="E35" s="108" t="s">
        <v>2</v>
      </c>
      <c r="F35" s="109"/>
      <c r="G35" s="106"/>
      <c r="H35" s="106"/>
    </row>
    <row r="36" spans="1:8" ht="12.95" customHeight="1" x14ac:dyDescent="0.6">
      <c r="A36" s="111">
        <f>HYPERLINK("https://bluetooth.atlassian.net/browse/ES-11356 ",11356)</f>
        <v>11356</v>
      </c>
      <c r="B36" s="112" t="s">
        <v>715</v>
      </c>
      <c r="C36" s="112" t="s">
        <v>735</v>
      </c>
      <c r="D36" s="112"/>
      <c r="E36" s="113" t="s">
        <v>2</v>
      </c>
      <c r="F36" s="114"/>
      <c r="G36" s="112"/>
      <c r="H36" s="112"/>
    </row>
    <row r="37" spans="1:8" ht="12.95" customHeight="1" x14ac:dyDescent="0.6">
      <c r="A37" s="107">
        <f>HYPERLINK("https://bluetooth.atlassian.net/browse/ES-11391 ",11391)</f>
        <v>11391</v>
      </c>
      <c r="B37" s="106" t="s">
        <v>715</v>
      </c>
      <c r="C37" s="106" t="s">
        <v>734</v>
      </c>
      <c r="D37" s="106"/>
      <c r="E37" s="108" t="s">
        <v>2</v>
      </c>
      <c r="F37" s="109"/>
      <c r="G37" s="106"/>
      <c r="H37" s="106"/>
    </row>
    <row r="38" spans="1:8" ht="13" x14ac:dyDescent="0.6">
      <c r="A38" s="111">
        <f>HYPERLINK("https://bluetooth.atlassian.net/browse/ES-11471 ",11471)</f>
        <v>11471</v>
      </c>
      <c r="B38" s="112" t="s">
        <v>715</v>
      </c>
      <c r="C38" s="112" t="s">
        <v>733</v>
      </c>
      <c r="D38" s="112"/>
      <c r="E38" s="113" t="s">
        <v>2</v>
      </c>
      <c r="F38" s="114"/>
      <c r="G38" s="112"/>
      <c r="H38" s="112"/>
    </row>
    <row r="39" spans="1:8" ht="13" x14ac:dyDescent="0.6">
      <c r="A39" s="107">
        <f>HYPERLINK("https://bluetooth.atlassian.net/browse/ES-11589 ",11589)</f>
        <v>11589</v>
      </c>
      <c r="B39" s="106" t="s">
        <v>715</v>
      </c>
      <c r="C39" s="106" t="s">
        <v>732</v>
      </c>
      <c r="D39" s="106"/>
      <c r="E39" s="108" t="s">
        <v>2</v>
      </c>
      <c r="F39" s="109"/>
      <c r="G39" s="106"/>
      <c r="H39" s="106"/>
    </row>
    <row r="40" spans="1:8" ht="26" x14ac:dyDescent="0.6">
      <c r="A40" s="111">
        <f>HYPERLINK("https://bluetooth.atlassian.net/browse/ES-11590 ",11590)</f>
        <v>11590</v>
      </c>
      <c r="B40" s="112" t="s">
        <v>715</v>
      </c>
      <c r="C40" s="112" t="s">
        <v>731</v>
      </c>
      <c r="D40" s="112"/>
      <c r="E40" s="113" t="s">
        <v>2</v>
      </c>
      <c r="F40" s="114"/>
      <c r="G40" s="112"/>
      <c r="H40" s="112"/>
    </row>
    <row r="41" spans="1:8" ht="26" x14ac:dyDescent="0.6">
      <c r="A41" s="107">
        <f>HYPERLINK("https://bluetooth.atlassian.net/browse/ES-11591 ",11591)</f>
        <v>11591</v>
      </c>
      <c r="B41" s="106" t="s">
        <v>715</v>
      </c>
      <c r="C41" s="106" t="s">
        <v>730</v>
      </c>
      <c r="D41" s="106"/>
      <c r="E41" s="108" t="s">
        <v>2</v>
      </c>
      <c r="F41" s="109"/>
      <c r="G41" s="106"/>
      <c r="H41" s="106"/>
    </row>
    <row r="42" spans="1:8" ht="26" x14ac:dyDescent="0.6">
      <c r="A42" s="111">
        <f>HYPERLINK("https://bluetooth.atlassian.net/browse/ES-11636 ",11636)</f>
        <v>11636</v>
      </c>
      <c r="B42" s="112" t="s">
        <v>715</v>
      </c>
      <c r="C42" s="112" t="s">
        <v>729</v>
      </c>
      <c r="D42" s="112"/>
      <c r="E42" s="113" t="s">
        <v>2</v>
      </c>
      <c r="F42" s="114"/>
      <c r="G42" s="112"/>
      <c r="H42" s="112"/>
    </row>
    <row r="43" spans="1:8" ht="13" x14ac:dyDescent="0.6">
      <c r="A43" s="107">
        <f>HYPERLINK("https://bluetooth.atlassian.net/browse/ES-11768 ",11768)</f>
        <v>11768</v>
      </c>
      <c r="B43" s="106" t="s">
        <v>715</v>
      </c>
      <c r="C43" s="106" t="s">
        <v>728</v>
      </c>
      <c r="D43" s="106"/>
      <c r="E43" s="108" t="s">
        <v>2</v>
      </c>
      <c r="F43" s="109"/>
      <c r="G43" s="106"/>
      <c r="H43" s="106"/>
    </row>
    <row r="44" spans="1:8" ht="13" x14ac:dyDescent="0.6">
      <c r="A44" s="111">
        <f>HYPERLINK("https://bluetooth.atlassian.net/browse/ES-11769 ",11769)</f>
        <v>11769</v>
      </c>
      <c r="B44" s="112" t="s">
        <v>715</v>
      </c>
      <c r="C44" s="112" t="s">
        <v>727</v>
      </c>
      <c r="D44" s="112"/>
      <c r="E44" s="113" t="s">
        <v>2</v>
      </c>
      <c r="F44" s="114"/>
      <c r="G44" s="112"/>
      <c r="H44" s="112"/>
    </row>
    <row r="45" spans="1:8" ht="26" x14ac:dyDescent="0.6">
      <c r="A45" s="107">
        <f>HYPERLINK("https://bluetooth.atlassian.net/browse/ES-12245 ",12245)</f>
        <v>12245</v>
      </c>
      <c r="B45" s="106" t="s">
        <v>715</v>
      </c>
      <c r="C45" s="106" t="s">
        <v>726</v>
      </c>
      <c r="D45" s="106"/>
      <c r="E45" s="108" t="s">
        <v>2</v>
      </c>
      <c r="F45" s="109"/>
      <c r="G45" s="106"/>
      <c r="H45" s="106"/>
    </row>
    <row r="46" spans="1:8" ht="26" x14ac:dyDescent="0.6">
      <c r="A46" s="111">
        <f>HYPERLINK("https://bluetooth.atlassian.net/browse/ES-12338 ",12338)</f>
        <v>12338</v>
      </c>
      <c r="B46" s="112" t="s">
        <v>715</v>
      </c>
      <c r="C46" s="112" t="s">
        <v>725</v>
      </c>
      <c r="D46" s="112"/>
      <c r="E46" s="113" t="s">
        <v>2</v>
      </c>
      <c r="F46" s="114"/>
      <c r="G46" s="112"/>
      <c r="H46" s="112"/>
    </row>
    <row r="47" spans="1:8" ht="26" x14ac:dyDescent="0.6">
      <c r="A47" s="107">
        <f>HYPERLINK("https://bluetooth.atlassian.net/browse/ES-12420 ",12420)</f>
        <v>12420</v>
      </c>
      <c r="B47" s="106" t="s">
        <v>715</v>
      </c>
      <c r="C47" s="106" t="s">
        <v>724</v>
      </c>
      <c r="D47" s="106"/>
      <c r="E47" s="94" t="s">
        <v>723</v>
      </c>
      <c r="F47" s="109"/>
      <c r="G47" s="106"/>
      <c r="H47" s="110" t="s">
        <v>722</v>
      </c>
    </row>
    <row r="48" spans="1:8" ht="13" x14ac:dyDescent="0.6">
      <c r="A48" s="111">
        <f>HYPERLINK("https://bluetooth.atlassian.net/browse/ES-12450 ",12450)</f>
        <v>12450</v>
      </c>
      <c r="B48" s="112" t="s">
        <v>715</v>
      </c>
      <c r="C48" s="112" t="s">
        <v>721</v>
      </c>
      <c r="D48" s="112"/>
      <c r="E48" s="113" t="s">
        <v>2</v>
      </c>
      <c r="F48" s="114"/>
      <c r="G48" s="112"/>
      <c r="H48" s="112"/>
    </row>
    <row r="49" spans="1:8" ht="13" x14ac:dyDescent="0.6">
      <c r="A49" s="107">
        <f>HYPERLINK("https://bluetooth.atlassian.net/browse/ES-12453 ",12453)</f>
        <v>12453</v>
      </c>
      <c r="B49" s="106" t="s">
        <v>715</v>
      </c>
      <c r="C49" s="106" t="s">
        <v>4</v>
      </c>
      <c r="D49" s="106"/>
      <c r="E49" s="108" t="s">
        <v>2</v>
      </c>
      <c r="F49" s="109"/>
      <c r="G49" s="106"/>
      <c r="H49" s="106"/>
    </row>
    <row r="50" spans="1:8" ht="13" x14ac:dyDescent="0.6">
      <c r="A50" s="111">
        <f>HYPERLINK("https://bluetooth.atlassian.net/browse/ES-12458 ",12458)</f>
        <v>12458</v>
      </c>
      <c r="B50" s="112" t="s">
        <v>715</v>
      </c>
      <c r="C50" s="112" t="s">
        <v>720</v>
      </c>
      <c r="D50" s="112"/>
      <c r="E50" s="113" t="s">
        <v>2</v>
      </c>
      <c r="F50" s="114"/>
      <c r="G50" s="112"/>
      <c r="H50" s="112"/>
    </row>
    <row r="51" spans="1:8" ht="26" x14ac:dyDescent="0.6">
      <c r="A51" s="107">
        <f>HYPERLINK("https://bluetooth.atlassian.net/browse/ES-12481 ",12481)</f>
        <v>12481</v>
      </c>
      <c r="B51" s="106" t="s">
        <v>715</v>
      </c>
      <c r="C51" s="106" t="s">
        <v>719</v>
      </c>
      <c r="D51" s="106"/>
      <c r="E51" s="108" t="s">
        <v>2</v>
      </c>
      <c r="F51" s="109"/>
      <c r="G51" s="106"/>
      <c r="H51" s="106"/>
    </row>
    <row r="52" spans="1:8" ht="13" x14ac:dyDescent="0.6">
      <c r="A52" s="111">
        <f>HYPERLINK("https://bluetooth.atlassian.net/browse/ES-12640 ",12640)</f>
        <v>12640</v>
      </c>
      <c r="B52" s="112" t="s">
        <v>715</v>
      </c>
      <c r="C52" s="112" t="s">
        <v>718</v>
      </c>
      <c r="D52" s="112"/>
      <c r="E52" s="113" t="s">
        <v>2</v>
      </c>
      <c r="F52" s="114"/>
      <c r="G52" s="112"/>
      <c r="H52" s="112"/>
    </row>
    <row r="53" spans="1:8" ht="26" x14ac:dyDescent="0.6">
      <c r="A53" s="107">
        <f>HYPERLINK("https://bluetooth.atlassian.net/browse/ES-12693 ",12693)</f>
        <v>12693</v>
      </c>
      <c r="B53" s="106" t="s">
        <v>715</v>
      </c>
      <c r="C53" s="106" t="s">
        <v>717</v>
      </c>
      <c r="D53" s="106"/>
      <c r="E53" s="108" t="s">
        <v>2</v>
      </c>
      <c r="F53" s="109"/>
      <c r="G53" s="106"/>
      <c r="H53" s="106"/>
    </row>
    <row r="54" spans="1:8" ht="26" x14ac:dyDescent="0.6">
      <c r="A54" s="111">
        <f>HYPERLINK("https://bluetooth.atlassian.net/browse/ES-12863 ",12863)</f>
        <v>12863</v>
      </c>
      <c r="B54" s="112" t="s">
        <v>715</v>
      </c>
      <c r="C54" s="112" t="s">
        <v>716</v>
      </c>
      <c r="D54" s="112"/>
      <c r="E54" s="113" t="s">
        <v>2</v>
      </c>
      <c r="F54" s="114"/>
      <c r="G54" s="112"/>
      <c r="H54" s="112"/>
    </row>
    <row r="55" spans="1:8" ht="13" x14ac:dyDescent="0.6">
      <c r="A55" s="107">
        <f>HYPERLINK("https://bluetooth.atlassian.net/browse/ES-12866 ",12866)</f>
        <v>12866</v>
      </c>
      <c r="B55" s="106" t="s">
        <v>715</v>
      </c>
      <c r="C55" s="106" t="s">
        <v>472</v>
      </c>
      <c r="D55" s="106"/>
      <c r="E55" s="108" t="s">
        <v>2</v>
      </c>
      <c r="F55" s="109"/>
      <c r="G55" s="106"/>
      <c r="H55" s="106"/>
    </row>
    <row r="56" spans="1:8" ht="13" x14ac:dyDescent="0.6">
      <c r="A56" s="111">
        <f>HYPERLINK("https://bluetooth.atlassian.net/browse/ES-11506 ",11506)</f>
        <v>11506</v>
      </c>
      <c r="B56" s="112" t="s">
        <v>711</v>
      </c>
      <c r="C56" s="112" t="s">
        <v>714</v>
      </c>
      <c r="D56" s="112"/>
      <c r="E56" s="113" t="s">
        <v>2</v>
      </c>
      <c r="F56" s="114"/>
      <c r="G56" s="112"/>
      <c r="H56" s="112"/>
    </row>
    <row r="57" spans="1:8" ht="13" x14ac:dyDescent="0.6">
      <c r="A57" s="107">
        <f>HYPERLINK("https://bluetooth.atlassian.net/browse/ES-11673 ",11673)</f>
        <v>11673</v>
      </c>
      <c r="B57" s="106" t="s">
        <v>711</v>
      </c>
      <c r="C57" s="106" t="s">
        <v>713</v>
      </c>
      <c r="D57" s="106"/>
      <c r="E57" s="108" t="s">
        <v>2</v>
      </c>
      <c r="F57" s="109"/>
      <c r="G57" s="106"/>
      <c r="H57" s="106"/>
    </row>
    <row r="58" spans="1:8" ht="13" x14ac:dyDescent="0.6">
      <c r="A58" s="111">
        <f>HYPERLINK("https://bluetooth.atlassian.net/browse/ES-11679 ",11679)</f>
        <v>11679</v>
      </c>
      <c r="B58" s="112" t="s">
        <v>711</v>
      </c>
      <c r="C58" s="112" t="s">
        <v>712</v>
      </c>
      <c r="D58" s="112"/>
      <c r="E58" s="113" t="s">
        <v>2</v>
      </c>
      <c r="F58" s="114"/>
      <c r="G58" s="112"/>
      <c r="H58" s="112"/>
    </row>
    <row r="59" spans="1:8" ht="13" x14ac:dyDescent="0.6">
      <c r="A59" s="107">
        <f>HYPERLINK("https://bluetooth.atlassian.net/browse/ES-12275 ",12275)</f>
        <v>12275</v>
      </c>
      <c r="B59" s="106" t="s">
        <v>711</v>
      </c>
      <c r="C59" s="106" t="s">
        <v>710</v>
      </c>
      <c r="D59" s="106"/>
      <c r="E59" s="108" t="s">
        <v>2</v>
      </c>
      <c r="F59" s="109"/>
      <c r="G59" s="106"/>
      <c r="H59" s="106"/>
    </row>
    <row r="60" spans="1:8" ht="26" x14ac:dyDescent="0.6">
      <c r="A60" s="111">
        <f>HYPERLINK("https://bluetooth.atlassian.net/browse/ES-11551",11551)</f>
        <v>11551</v>
      </c>
      <c r="B60" s="112" t="s">
        <v>707</v>
      </c>
      <c r="C60" s="112" t="s">
        <v>709</v>
      </c>
      <c r="D60" s="112"/>
      <c r="E60" s="113" t="s">
        <v>2</v>
      </c>
      <c r="F60" s="114"/>
      <c r="G60" s="112"/>
      <c r="H60" s="112"/>
    </row>
    <row r="61" spans="1:8" ht="26.15" customHeight="1" x14ac:dyDescent="0.6">
      <c r="A61" s="107">
        <f>HYPERLINK("https://bluetooth.atlassian.net/browse/ES-11649",11649)</f>
        <v>11649</v>
      </c>
      <c r="B61" s="106" t="s">
        <v>707</v>
      </c>
      <c r="C61" s="106" t="s">
        <v>708</v>
      </c>
      <c r="D61" s="106"/>
      <c r="E61" s="108" t="s">
        <v>2</v>
      </c>
      <c r="F61" s="109"/>
      <c r="G61" s="106"/>
      <c r="H61" s="106"/>
    </row>
    <row r="62" spans="1:8" ht="13" x14ac:dyDescent="0.6">
      <c r="A62" s="111">
        <f>HYPERLINK("https://bluetooth.atlassian.net/browse/ES-11683 ",11683)</f>
        <v>11683</v>
      </c>
      <c r="B62" s="112" t="s">
        <v>707</v>
      </c>
      <c r="C62" s="112" t="s">
        <v>706</v>
      </c>
      <c r="D62" s="112"/>
      <c r="E62" s="113" t="s">
        <v>2</v>
      </c>
      <c r="F62" s="114"/>
      <c r="G62" s="112"/>
      <c r="H62" s="112"/>
    </row>
    <row r="63" spans="1:8" ht="13" x14ac:dyDescent="0.6">
      <c r="A63" s="107">
        <f>HYPERLINK("https://bluetooth.atlassian.net/browse/ES-12345 ",12345)</f>
        <v>12345</v>
      </c>
      <c r="B63" s="106" t="s">
        <v>705</v>
      </c>
      <c r="C63" s="106" t="s">
        <v>704</v>
      </c>
      <c r="D63" s="106"/>
      <c r="E63" s="108" t="s">
        <v>2</v>
      </c>
      <c r="F63" s="109"/>
      <c r="G63" s="106"/>
      <c r="H63" s="106"/>
    </row>
    <row r="64" spans="1:8" ht="25.5" customHeight="1" x14ac:dyDescent="0.6">
      <c r="A64" s="111">
        <f>HYPERLINK("https://bluetooth.atlassian.net/browse/ES-10958 ",10958)</f>
        <v>10958</v>
      </c>
      <c r="B64" s="112" t="s">
        <v>703</v>
      </c>
      <c r="C64" s="112" t="s">
        <v>702</v>
      </c>
      <c r="D64" s="112"/>
      <c r="E64" s="113" t="s">
        <v>2</v>
      </c>
      <c r="F64" s="114"/>
      <c r="G64" s="112"/>
      <c r="H64" s="112"/>
    </row>
    <row r="65" spans="1:8" ht="12.95" customHeight="1" x14ac:dyDescent="0.6">
      <c r="A65" s="107">
        <f>HYPERLINK("https://bluetooth.atlassian.net/browse/ES-11330 ",11330)</f>
        <v>11330</v>
      </c>
      <c r="B65" s="106" t="s">
        <v>701</v>
      </c>
      <c r="C65" s="106" t="s">
        <v>700</v>
      </c>
      <c r="D65" s="106"/>
      <c r="E65" s="108" t="s">
        <v>2</v>
      </c>
      <c r="F65" s="109"/>
      <c r="G65" s="106"/>
      <c r="H65" s="106"/>
    </row>
    <row r="66" spans="1:8" ht="13" x14ac:dyDescent="0.6">
      <c r="A66" s="111">
        <f>HYPERLINK("https://bluetooth.atlassian.net/browse/ES-10909 ",10909)</f>
        <v>10909</v>
      </c>
      <c r="B66" s="112" t="s">
        <v>674</v>
      </c>
      <c r="C66" s="112" t="s">
        <v>699</v>
      </c>
      <c r="D66" s="112"/>
      <c r="E66" s="113" t="s">
        <v>2</v>
      </c>
      <c r="F66" s="114"/>
      <c r="G66" s="112"/>
      <c r="H66" s="112"/>
    </row>
    <row r="67" spans="1:8" ht="13" x14ac:dyDescent="0.6">
      <c r="A67" s="107">
        <f>HYPERLINK("https://bluetooth.atlassian.net/browse/ES-10951 ",10951)</f>
        <v>10951</v>
      </c>
      <c r="B67" s="106" t="s">
        <v>674</v>
      </c>
      <c r="C67" s="106" t="s">
        <v>698</v>
      </c>
      <c r="D67" s="106"/>
      <c r="E67" s="108" t="s">
        <v>2</v>
      </c>
      <c r="F67" s="109"/>
      <c r="G67" s="106"/>
      <c r="H67" s="106"/>
    </row>
    <row r="68" spans="1:8" ht="26" x14ac:dyDescent="0.6">
      <c r="A68" s="111">
        <f>HYPERLINK("https://bluetooth.atlassian.net/browse/ES-10957 ",10957)</f>
        <v>10957</v>
      </c>
      <c r="B68" s="112" t="s">
        <v>674</v>
      </c>
      <c r="C68" s="112" t="s">
        <v>697</v>
      </c>
      <c r="D68" s="112"/>
      <c r="E68" s="113" t="s">
        <v>2</v>
      </c>
      <c r="F68" s="114"/>
      <c r="G68" s="112"/>
      <c r="H68" s="112"/>
    </row>
    <row r="69" spans="1:8" ht="13" x14ac:dyDescent="0.6">
      <c r="A69" s="107">
        <f>HYPERLINK("https://bluetooth.atlassian.net/browse/ES-10962 ",10962)</f>
        <v>10962</v>
      </c>
      <c r="B69" s="106" t="s">
        <v>674</v>
      </c>
      <c r="C69" s="106" t="s">
        <v>696</v>
      </c>
      <c r="D69" s="106"/>
      <c r="E69" s="108" t="s">
        <v>2</v>
      </c>
      <c r="F69" s="109"/>
      <c r="G69" s="106"/>
      <c r="H69" s="106"/>
    </row>
    <row r="70" spans="1:8" ht="25.5" customHeight="1" x14ac:dyDescent="0.6">
      <c r="A70" s="111">
        <f>HYPERLINK("https://bluetooth.atlassian.net/browse/ES-11049 ",11049)</f>
        <v>11049</v>
      </c>
      <c r="B70" s="112" t="s">
        <v>674</v>
      </c>
      <c r="C70" s="112" t="s">
        <v>695</v>
      </c>
      <c r="D70" s="112"/>
      <c r="E70" s="113" t="s">
        <v>2</v>
      </c>
      <c r="F70" s="114"/>
      <c r="G70" s="112"/>
      <c r="H70" s="112"/>
    </row>
    <row r="71" spans="1:8" ht="13" x14ac:dyDescent="0.6">
      <c r="A71" s="107">
        <f>HYPERLINK("https://bluetooth.atlassian.net/browse/ES-11066 ",11066)</f>
        <v>11066</v>
      </c>
      <c r="B71" s="106" t="s">
        <v>674</v>
      </c>
      <c r="C71" s="106" t="s">
        <v>694</v>
      </c>
      <c r="D71" s="106"/>
      <c r="E71" s="108" t="s">
        <v>2</v>
      </c>
      <c r="F71" s="109"/>
      <c r="G71" s="106"/>
      <c r="H71" s="106"/>
    </row>
    <row r="72" spans="1:8" ht="26" x14ac:dyDescent="0.6">
      <c r="A72" s="111">
        <f>HYPERLINK("https://bluetooth.atlassian.net/browse/ES-11084",11084)</f>
        <v>11084</v>
      </c>
      <c r="B72" s="112" t="s">
        <v>674</v>
      </c>
      <c r="C72" s="112" t="s">
        <v>693</v>
      </c>
      <c r="D72" s="112"/>
      <c r="E72" s="113" t="s">
        <v>2</v>
      </c>
      <c r="F72" s="114"/>
      <c r="G72" s="112"/>
      <c r="H72" s="112"/>
    </row>
    <row r="73" spans="1:8" ht="26" x14ac:dyDescent="0.6">
      <c r="A73" s="107">
        <f>HYPERLINK("https://bluetooth.atlassian.net/browse/ES-11308 ",11308)</f>
        <v>11308</v>
      </c>
      <c r="B73" s="106" t="s">
        <v>674</v>
      </c>
      <c r="C73" s="106" t="s">
        <v>692</v>
      </c>
      <c r="D73" s="106"/>
      <c r="E73" s="108" t="s">
        <v>2</v>
      </c>
      <c r="F73" s="109"/>
      <c r="G73" s="106"/>
      <c r="H73" s="106"/>
    </row>
    <row r="74" spans="1:8" ht="13" x14ac:dyDescent="0.6">
      <c r="A74" s="111">
        <f>HYPERLINK("https://bluetooth.atlassian.net/browse/ES-11355 ",11355)</f>
        <v>11355</v>
      </c>
      <c r="B74" s="112" t="s">
        <v>674</v>
      </c>
      <c r="C74" s="112" t="s">
        <v>691</v>
      </c>
      <c r="D74" s="112"/>
      <c r="E74" s="113" t="s">
        <v>2</v>
      </c>
      <c r="F74" s="114"/>
      <c r="G74" s="112"/>
      <c r="H74" s="112"/>
    </row>
    <row r="75" spans="1:8" ht="13" x14ac:dyDescent="0.6">
      <c r="A75" s="107">
        <f>HYPERLINK("https://bluetooth.atlassian.net/browse/ES-11357",11357)</f>
        <v>11357</v>
      </c>
      <c r="B75" s="106" t="s">
        <v>674</v>
      </c>
      <c r="C75" s="106" t="s">
        <v>690</v>
      </c>
      <c r="D75" s="106"/>
      <c r="E75" s="108" t="s">
        <v>2</v>
      </c>
      <c r="F75" s="109"/>
      <c r="G75" s="106"/>
      <c r="H75" s="106"/>
    </row>
    <row r="76" spans="1:8" ht="26" x14ac:dyDescent="0.6">
      <c r="A76" s="111">
        <f>HYPERLINK("https://bluetooth.atlassian.net/browse/ES-11386 ",11386)</f>
        <v>11386</v>
      </c>
      <c r="B76" s="112" t="s">
        <v>674</v>
      </c>
      <c r="C76" s="112" t="s">
        <v>689</v>
      </c>
      <c r="D76" s="112"/>
      <c r="E76" s="113" t="s">
        <v>2</v>
      </c>
      <c r="F76" s="114"/>
      <c r="G76" s="112"/>
      <c r="H76" s="112"/>
    </row>
    <row r="77" spans="1:8" ht="26" x14ac:dyDescent="0.6">
      <c r="A77" s="107">
        <f>HYPERLINK("https://bluetooth.atlassian.net/browse/ES-11443 ",11443)</f>
        <v>11443</v>
      </c>
      <c r="B77" s="106" t="s">
        <v>674</v>
      </c>
      <c r="C77" s="106" t="s">
        <v>688</v>
      </c>
      <c r="D77" s="106"/>
      <c r="E77" s="108" t="s">
        <v>2</v>
      </c>
      <c r="F77" s="109"/>
      <c r="G77" s="106"/>
      <c r="H77" s="106"/>
    </row>
    <row r="78" spans="1:8" ht="26" x14ac:dyDescent="0.6">
      <c r="A78" s="111">
        <f>HYPERLINK("https://bluetooth.atlassian.net/browse/ES-11482 ",11482)</f>
        <v>11482</v>
      </c>
      <c r="B78" s="112" t="s">
        <v>674</v>
      </c>
      <c r="C78" s="112" t="s">
        <v>687</v>
      </c>
      <c r="D78" s="112"/>
      <c r="E78" s="95" t="s">
        <v>1</v>
      </c>
      <c r="F78" s="114">
        <v>2</v>
      </c>
      <c r="G78" s="96">
        <f>HYPERLINK("https://bluetooth.atlassian.net/browse/ES-11709",11709)</f>
        <v>11709</v>
      </c>
      <c r="H78" s="112" t="s">
        <v>1228</v>
      </c>
    </row>
    <row r="79" spans="1:8" ht="26" x14ac:dyDescent="0.6">
      <c r="A79" s="107">
        <f>HYPERLINK("https://bluetooth.atlassian.net/browse/ES-11485 ",11485)</f>
        <v>11485</v>
      </c>
      <c r="B79" s="106" t="s">
        <v>674</v>
      </c>
      <c r="C79" s="106" t="s">
        <v>686</v>
      </c>
      <c r="D79" s="106"/>
      <c r="E79" s="94" t="s">
        <v>1</v>
      </c>
      <c r="F79" s="109">
        <v>3</v>
      </c>
      <c r="G79" s="97">
        <f>HYPERLINK("https://bluetooth.atlassian.net/browse/ES-11534",11534)</f>
        <v>11534</v>
      </c>
      <c r="H79" s="106" t="s">
        <v>1229</v>
      </c>
    </row>
    <row r="80" spans="1:8" ht="12.95" customHeight="1" x14ac:dyDescent="0.6">
      <c r="A80" s="111">
        <f>HYPERLINK("https://bluetooth.atlassian.net/browse/ES-11498 ",11498)</f>
        <v>11498</v>
      </c>
      <c r="B80" s="112" t="s">
        <v>674</v>
      </c>
      <c r="C80" s="112" t="s">
        <v>685</v>
      </c>
      <c r="D80" s="112"/>
      <c r="E80" s="95" t="s">
        <v>1</v>
      </c>
      <c r="F80" s="114">
        <v>3</v>
      </c>
      <c r="G80" s="96">
        <f>HYPERLINK("https://bluetooth.atlassian.net/browse/ES-11571",11571)</f>
        <v>11571</v>
      </c>
      <c r="H80" s="112" t="s">
        <v>1230</v>
      </c>
    </row>
    <row r="81" spans="1:8" ht="12.95" customHeight="1" x14ac:dyDescent="0.6">
      <c r="A81" s="107">
        <f>HYPERLINK("https://bluetooth.atlassian.net/browse/ES-11602 ",11602)</f>
        <v>11602</v>
      </c>
      <c r="B81" s="106" t="s">
        <v>674</v>
      </c>
      <c r="C81" s="106" t="s">
        <v>684</v>
      </c>
      <c r="D81" s="106"/>
      <c r="E81" s="94" t="s">
        <v>1</v>
      </c>
      <c r="F81" s="109">
        <v>4</v>
      </c>
      <c r="G81" s="97">
        <f>HYPERLINK("https://bluetooth.atlassian.net/browse/ES-11629",11629)</f>
        <v>11629</v>
      </c>
      <c r="H81" s="106" t="s">
        <v>1231</v>
      </c>
    </row>
    <row r="82" spans="1:8" ht="13" x14ac:dyDescent="0.6">
      <c r="A82" s="111">
        <f>HYPERLINK("https://bluetooth.atlassian.net/browse/ES-11640 ",11640)</f>
        <v>11640</v>
      </c>
      <c r="B82" s="112" t="s">
        <v>674</v>
      </c>
      <c r="C82" s="112" t="s">
        <v>683</v>
      </c>
      <c r="D82" s="112"/>
      <c r="E82" s="113" t="s">
        <v>2</v>
      </c>
      <c r="F82" s="114"/>
      <c r="G82" s="112"/>
      <c r="H82" s="112"/>
    </row>
    <row r="83" spans="1:8" ht="13" x14ac:dyDescent="0.6">
      <c r="A83" s="107">
        <f>HYPERLINK("https://bluetooth.atlassian.net/browse/ES-11828 ",11828)</f>
        <v>11828</v>
      </c>
      <c r="B83" s="106" t="s">
        <v>674</v>
      </c>
      <c r="C83" s="106" t="s">
        <v>682</v>
      </c>
      <c r="D83" s="106"/>
      <c r="E83" s="108" t="s">
        <v>2</v>
      </c>
      <c r="F83" s="109"/>
      <c r="G83" s="106"/>
      <c r="H83" s="106"/>
    </row>
    <row r="84" spans="1:8" ht="26" x14ac:dyDescent="0.6">
      <c r="A84" s="111">
        <f>HYPERLINK("https://bluetooth.atlassian.net/browse/ES-11933 ",11933)</f>
        <v>11933</v>
      </c>
      <c r="B84" s="112" t="s">
        <v>674</v>
      </c>
      <c r="C84" s="112" t="s">
        <v>681</v>
      </c>
      <c r="D84" s="112"/>
      <c r="E84" s="113" t="s">
        <v>2</v>
      </c>
      <c r="F84" s="114"/>
      <c r="G84" s="112"/>
      <c r="H84" s="112"/>
    </row>
    <row r="85" spans="1:8" ht="13" x14ac:dyDescent="0.6">
      <c r="A85" s="107">
        <f>HYPERLINK("https://bluetooth.atlassian.net/browse/ES-12236 ",12236)</f>
        <v>12236</v>
      </c>
      <c r="B85" s="106" t="s">
        <v>674</v>
      </c>
      <c r="C85" s="106" t="s">
        <v>680</v>
      </c>
      <c r="D85" s="106"/>
      <c r="E85" s="108" t="s">
        <v>2</v>
      </c>
      <c r="F85" s="109"/>
      <c r="G85" s="106"/>
      <c r="H85" s="106"/>
    </row>
    <row r="86" spans="1:8" ht="26" x14ac:dyDescent="0.6">
      <c r="A86" s="111">
        <f>HYPERLINK("https://bluetooth.atlassian.net/browse/ES-12251 ",12251)</f>
        <v>12251</v>
      </c>
      <c r="B86" s="112" t="s">
        <v>674</v>
      </c>
      <c r="C86" s="112" t="s">
        <v>679</v>
      </c>
      <c r="D86" s="112"/>
      <c r="E86" s="113" t="s">
        <v>2</v>
      </c>
      <c r="F86" s="114"/>
      <c r="G86" s="112"/>
      <c r="H86" s="112"/>
    </row>
    <row r="87" spans="1:8" ht="13" x14ac:dyDescent="0.6">
      <c r="A87" s="107">
        <f>HYPERLINK("https://bluetooth.atlassian.net/browse/ES-12252 ",12252)</f>
        <v>12252</v>
      </c>
      <c r="B87" s="106" t="s">
        <v>674</v>
      </c>
      <c r="C87" s="106" t="s">
        <v>6</v>
      </c>
      <c r="D87" s="106"/>
      <c r="E87" s="108" t="s">
        <v>2</v>
      </c>
      <c r="F87" s="109"/>
      <c r="G87" s="106"/>
      <c r="H87" s="106"/>
    </row>
    <row r="88" spans="1:8" ht="13" x14ac:dyDescent="0.6">
      <c r="A88" s="111">
        <f>HYPERLINK("https://bluetooth.atlassian.net/browse/ES-12263 ",12263)</f>
        <v>12263</v>
      </c>
      <c r="B88" s="112" t="s">
        <v>674</v>
      </c>
      <c r="C88" s="112" t="s">
        <v>678</v>
      </c>
      <c r="D88" s="112"/>
      <c r="E88" s="113" t="s">
        <v>2</v>
      </c>
      <c r="F88" s="114"/>
      <c r="G88" s="112"/>
      <c r="H88" s="112"/>
    </row>
    <row r="89" spans="1:8" ht="12.95" customHeight="1" x14ac:dyDescent="0.6">
      <c r="A89" s="107">
        <f>HYPERLINK("https://bluetooth.atlassian.net/browse/ES-12325 ",12325)</f>
        <v>12325</v>
      </c>
      <c r="B89" s="106" t="s">
        <v>674</v>
      </c>
      <c r="C89" s="106" t="s">
        <v>677</v>
      </c>
      <c r="D89" s="106"/>
      <c r="E89" s="94" t="s">
        <v>1</v>
      </c>
      <c r="F89" s="109">
        <v>1</v>
      </c>
      <c r="G89" s="97">
        <f>HYPERLINK("https://bluetooth.atlassian.net/browse/ES-12334",12334)</f>
        <v>12334</v>
      </c>
      <c r="H89" s="106" t="s">
        <v>1179</v>
      </c>
    </row>
    <row r="90" spans="1:8" ht="26" x14ac:dyDescent="0.6">
      <c r="A90" s="111">
        <f>HYPERLINK("https://bluetooth.atlassian.net/browse/ES-12493 ",12493)</f>
        <v>12493</v>
      </c>
      <c r="B90" s="112" t="s">
        <v>674</v>
      </c>
      <c r="C90" s="112" t="s">
        <v>676</v>
      </c>
      <c r="D90" s="112"/>
      <c r="E90" s="113" t="s">
        <v>2</v>
      </c>
      <c r="F90" s="114"/>
      <c r="G90" s="112"/>
      <c r="H90" s="112"/>
    </row>
    <row r="91" spans="1:8" ht="26" x14ac:dyDescent="0.6">
      <c r="A91" s="107">
        <f>HYPERLINK("https://bluetooth.atlassian.net/browse/ES-13012 ",13012)</f>
        <v>13012</v>
      </c>
      <c r="B91" s="106" t="s">
        <v>674</v>
      </c>
      <c r="C91" s="106" t="s">
        <v>675</v>
      </c>
      <c r="D91" s="106"/>
      <c r="E91" s="108" t="s">
        <v>2</v>
      </c>
      <c r="F91" s="109"/>
      <c r="G91" s="106"/>
      <c r="H91" s="106"/>
    </row>
    <row r="92" spans="1:8" ht="26" x14ac:dyDescent="0.6">
      <c r="A92" s="111">
        <f>HYPERLINK("https://bluetooth.atlassian.net/browse/ES-13083 ",13083)</f>
        <v>13083</v>
      </c>
      <c r="B92" s="112" t="s">
        <v>674</v>
      </c>
      <c r="C92" s="112" t="s">
        <v>673</v>
      </c>
      <c r="D92" s="112"/>
      <c r="E92" s="113" t="s">
        <v>2</v>
      </c>
      <c r="F92" s="114"/>
      <c r="G92" s="112"/>
      <c r="H92" s="112"/>
    </row>
    <row r="93" spans="1:8" ht="13" x14ac:dyDescent="0.6">
      <c r="A93" s="107">
        <f>HYPERLINK("https://bluetooth.atlassian.net/browse/ES-10939 ",10939)</f>
        <v>10939</v>
      </c>
      <c r="B93" s="106" t="s">
        <v>670</v>
      </c>
      <c r="C93" s="106" t="s">
        <v>672</v>
      </c>
      <c r="D93" s="106"/>
      <c r="E93" s="108" t="s">
        <v>2</v>
      </c>
      <c r="F93" s="109"/>
      <c r="G93" s="106"/>
      <c r="H93" s="106"/>
    </row>
    <row r="94" spans="1:8" ht="13" x14ac:dyDescent="0.6">
      <c r="A94" s="111">
        <f>HYPERLINK("https://bluetooth.atlassian.net/browse/ES-10993 ",10993)</f>
        <v>10993</v>
      </c>
      <c r="B94" s="112" t="s">
        <v>670</v>
      </c>
      <c r="C94" s="112" t="s">
        <v>671</v>
      </c>
      <c r="D94" s="112"/>
      <c r="E94" s="113" t="s">
        <v>2</v>
      </c>
      <c r="F94" s="114"/>
      <c r="G94" s="112"/>
      <c r="H94" s="112"/>
    </row>
    <row r="95" spans="1:8" ht="13" x14ac:dyDescent="0.6">
      <c r="A95" s="107">
        <f>HYPERLINK("https://bluetooth.atlassian.net/browse/ES-12908 ",12908)</f>
        <v>12908</v>
      </c>
      <c r="B95" s="106" t="s">
        <v>670</v>
      </c>
      <c r="C95" s="106" t="s">
        <v>474</v>
      </c>
      <c r="D95" s="106"/>
      <c r="E95" s="108" t="s">
        <v>2</v>
      </c>
      <c r="F95" s="109"/>
      <c r="G95" s="106"/>
      <c r="H95" s="106"/>
    </row>
    <row r="96" spans="1:8" ht="26" x14ac:dyDescent="0.6">
      <c r="A96" s="111">
        <f>HYPERLINK("https://bluetooth.atlassian.net/browse/ES-11423 ",11423)</f>
        <v>11423</v>
      </c>
      <c r="B96" s="112" t="s">
        <v>669</v>
      </c>
      <c r="C96" s="112" t="s">
        <v>668</v>
      </c>
      <c r="D96" s="112"/>
      <c r="E96" s="113" t="s">
        <v>2</v>
      </c>
      <c r="F96" s="114"/>
      <c r="G96" s="112"/>
      <c r="H96" s="112"/>
    </row>
    <row r="97" spans="1:8" ht="12.95" customHeight="1" x14ac:dyDescent="0.6">
      <c r="A97" s="107">
        <f>HYPERLINK("https://bluetooth.atlassian.net/browse/ES-10972 ",10972)</f>
        <v>10972</v>
      </c>
      <c r="B97" s="106" t="s">
        <v>664</v>
      </c>
      <c r="C97" s="106" t="s">
        <v>667</v>
      </c>
      <c r="D97" s="106"/>
      <c r="E97" s="94" t="s">
        <v>1</v>
      </c>
      <c r="F97" s="109">
        <v>4</v>
      </c>
      <c r="G97" s="97">
        <f>HYPERLINK("https://bluetooth.atlassian.net/browse/ES-12703",12703)</f>
        <v>12703</v>
      </c>
      <c r="H97" s="106" t="s">
        <v>1232</v>
      </c>
    </row>
    <row r="98" spans="1:8" ht="13" x14ac:dyDescent="0.6">
      <c r="A98" s="111">
        <f>HYPERLINK("https://bluetooth.atlassian.net/browse/ES-11422 ",11422)</f>
        <v>11422</v>
      </c>
      <c r="B98" s="112" t="s">
        <v>664</v>
      </c>
      <c r="C98" s="112" t="s">
        <v>666</v>
      </c>
      <c r="D98" s="112"/>
      <c r="E98" s="113" t="s">
        <v>2</v>
      </c>
      <c r="F98" s="114"/>
      <c r="G98" s="112"/>
      <c r="H98" s="112"/>
    </row>
    <row r="99" spans="1:8" ht="13" x14ac:dyDescent="0.6">
      <c r="A99" s="107">
        <f>HYPERLINK("https://bluetooth.atlassian.net/browse/ES-11505 ",11505)</f>
        <v>11505</v>
      </c>
      <c r="B99" s="106" t="s">
        <v>664</v>
      </c>
      <c r="C99" s="106" t="s">
        <v>665</v>
      </c>
      <c r="D99" s="106"/>
      <c r="E99" s="108" t="s">
        <v>2</v>
      </c>
      <c r="F99" s="109"/>
      <c r="G99" s="106"/>
      <c r="H99" s="106"/>
    </row>
    <row r="100" spans="1:8" ht="13" x14ac:dyDescent="0.6">
      <c r="A100" s="111">
        <f>HYPERLINK("https://bluetooth.atlassian.net/browse/ES-12348 ",12348)</f>
        <v>12348</v>
      </c>
      <c r="B100" s="112" t="s">
        <v>664</v>
      </c>
      <c r="C100" s="112" t="s">
        <v>5</v>
      </c>
      <c r="D100" s="112"/>
      <c r="E100" s="113" t="s">
        <v>2</v>
      </c>
      <c r="F100" s="114"/>
      <c r="G100" s="112"/>
      <c r="H100" s="112"/>
    </row>
    <row r="101" spans="1:8" ht="13" x14ac:dyDescent="0.6">
      <c r="A101" s="107">
        <f>HYPERLINK("https://bluetooth.atlassian.net/browse/ES-12434 ",12434)</f>
        <v>12434</v>
      </c>
      <c r="B101" s="106" t="s">
        <v>664</v>
      </c>
      <c r="C101" s="106" t="s">
        <v>663</v>
      </c>
      <c r="D101" s="106"/>
      <c r="E101" s="108" t="s">
        <v>2</v>
      </c>
      <c r="F101" s="109"/>
      <c r="G101" s="106"/>
      <c r="H101" s="106"/>
    </row>
    <row r="102" spans="1:8" ht="26" x14ac:dyDescent="0.6">
      <c r="A102" s="111">
        <f>HYPERLINK("https://bluetooth.atlassian.net/browse/ES-11870 ",11870)</f>
        <v>11870</v>
      </c>
      <c r="B102" s="112" t="s">
        <v>662</v>
      </c>
      <c r="C102" s="112" t="s">
        <v>661</v>
      </c>
      <c r="D102" s="112"/>
      <c r="E102" s="95" t="s">
        <v>1</v>
      </c>
      <c r="F102" s="114">
        <v>1</v>
      </c>
      <c r="G102" s="96">
        <f>HYPERLINK("https://bluetooth.atlassian.net/browse/ES-12044",12044)</f>
        <v>12044</v>
      </c>
      <c r="H102" s="112" t="s">
        <v>1233</v>
      </c>
    </row>
    <row r="103" spans="1:8" ht="26" x14ac:dyDescent="0.6">
      <c r="A103" s="107">
        <f>HYPERLINK("https://bluetooth.atlassian.net/browse/ES-11070 ",11070)</f>
        <v>11070</v>
      </c>
      <c r="B103" s="106" t="s">
        <v>660</v>
      </c>
      <c r="C103" s="106" t="s">
        <v>659</v>
      </c>
      <c r="D103" s="106"/>
      <c r="E103" s="108" t="s">
        <v>2</v>
      </c>
      <c r="F103" s="109"/>
      <c r="G103" s="106"/>
      <c r="H103" s="106"/>
    </row>
    <row r="104" spans="1:8" ht="12.95" customHeight="1" x14ac:dyDescent="0.6">
      <c r="A104" s="111">
        <f>HYPERLINK("https://bluetooth.atlassian.net/browse/ES-12654 ",12654)</f>
        <v>12654</v>
      </c>
      <c r="B104" s="112" t="s">
        <v>658</v>
      </c>
      <c r="C104" s="112" t="s">
        <v>657</v>
      </c>
      <c r="D104" s="112"/>
      <c r="E104" s="95" t="s">
        <v>1</v>
      </c>
      <c r="F104" s="114">
        <v>1</v>
      </c>
      <c r="G104" s="96">
        <f>HYPERLINK("https://bluetooth.atlassian.net/browse/ES-12811",12811)</f>
        <v>12811</v>
      </c>
      <c r="H104" s="112" t="s">
        <v>1234</v>
      </c>
    </row>
    <row r="105" spans="1:8" ht="13" x14ac:dyDescent="0.6">
      <c r="A105" s="107">
        <f>HYPERLINK("https://bluetooth.atlassian.net/browse/ES-11909 ",11909)</f>
        <v>11909</v>
      </c>
      <c r="B105" s="106" t="s">
        <v>654</v>
      </c>
      <c r="C105" s="106" t="s">
        <v>656</v>
      </c>
      <c r="D105" s="106"/>
      <c r="E105" s="108" t="s">
        <v>2</v>
      </c>
      <c r="F105" s="109"/>
      <c r="G105" s="106"/>
      <c r="H105" s="106"/>
    </row>
    <row r="106" spans="1:8" ht="13" x14ac:dyDescent="0.6">
      <c r="A106" s="111">
        <f>HYPERLINK("https://bluetooth.atlassian.net/browse/ES-11910 ",11910)</f>
        <v>11910</v>
      </c>
      <c r="B106" s="112" t="s">
        <v>654</v>
      </c>
      <c r="C106" s="112" t="s">
        <v>655</v>
      </c>
      <c r="D106" s="112"/>
      <c r="E106" s="113" t="s">
        <v>2</v>
      </c>
      <c r="F106" s="114"/>
      <c r="G106" s="112"/>
      <c r="H106" s="112"/>
    </row>
    <row r="107" spans="1:8" ht="13" x14ac:dyDescent="0.6">
      <c r="A107" s="107">
        <f>HYPERLINK("https://bluetooth.atlassian.net/browse/ES-12247 ",12247)</f>
        <v>12247</v>
      </c>
      <c r="B107" s="106" t="s">
        <v>654</v>
      </c>
      <c r="C107" s="106" t="s">
        <v>7</v>
      </c>
      <c r="D107" s="106"/>
      <c r="E107" s="108" t="s">
        <v>2</v>
      </c>
      <c r="F107" s="109"/>
      <c r="G107" s="106"/>
      <c r="H107" s="106"/>
    </row>
    <row r="108" spans="1:8" ht="12.95" customHeight="1" x14ac:dyDescent="0.6">
      <c r="A108" s="111">
        <f>HYPERLINK("https://bluetooth.atlassian.net/browse/ES-12880 ",12880)</f>
        <v>12880</v>
      </c>
      <c r="B108" s="112" t="s">
        <v>654</v>
      </c>
      <c r="C108" s="112" t="s">
        <v>653</v>
      </c>
      <c r="D108" s="112"/>
      <c r="E108" s="113" t="s">
        <v>2</v>
      </c>
      <c r="F108" s="114"/>
      <c r="G108" s="112"/>
      <c r="H108" s="112"/>
    </row>
    <row r="109" spans="1:8" ht="13" x14ac:dyDescent="0.6">
      <c r="A109" s="29"/>
      <c r="B109" s="29"/>
      <c r="C109" s="28"/>
      <c r="D109" s="28"/>
      <c r="E109" s="27"/>
      <c r="F109" s="33"/>
      <c r="G109" s="26"/>
      <c r="H109" s="26"/>
    </row>
    <row r="110" spans="1:8" ht="13" x14ac:dyDescent="0.6">
      <c r="A110" s="29"/>
      <c r="B110" s="29"/>
      <c r="C110" s="28"/>
      <c r="D110" s="28"/>
      <c r="E110" s="27"/>
      <c r="H110" s="26"/>
    </row>
    <row r="111" spans="1:8" ht="13" x14ac:dyDescent="0.6">
      <c r="A111" s="29"/>
      <c r="B111" s="29"/>
      <c r="C111" s="28"/>
      <c r="D111" s="28"/>
      <c r="E111" s="27"/>
      <c r="H111" s="26"/>
    </row>
    <row r="112" spans="1:8" ht="13" x14ac:dyDescent="0.6">
      <c r="A112" s="29"/>
      <c r="B112" s="29"/>
      <c r="C112" s="28"/>
      <c r="D112" s="28"/>
      <c r="E112" s="27"/>
      <c r="H112" s="26"/>
    </row>
    <row r="113" spans="1:8" ht="13" x14ac:dyDescent="0.6">
      <c r="A113" s="29"/>
      <c r="B113" s="29"/>
      <c r="C113" s="28"/>
      <c r="D113" s="28"/>
      <c r="E113" s="27"/>
      <c r="H113" s="26"/>
    </row>
    <row r="114" spans="1:8" ht="13" x14ac:dyDescent="0.6">
      <c r="A114" s="29"/>
      <c r="B114" s="29"/>
      <c r="C114" s="28"/>
      <c r="D114" s="28"/>
      <c r="E114" s="27"/>
      <c r="H114" s="26"/>
    </row>
    <row r="115" spans="1:8" ht="13" x14ac:dyDescent="0.6">
      <c r="A115" s="29"/>
      <c r="B115" s="29"/>
      <c r="C115" s="28"/>
      <c r="D115" s="28"/>
      <c r="E115" s="27"/>
      <c r="H115" s="26"/>
    </row>
    <row r="116" spans="1:8" ht="13" x14ac:dyDescent="0.6">
      <c r="A116" s="29"/>
      <c r="B116" s="29"/>
      <c r="C116" s="28"/>
      <c r="D116" s="28"/>
      <c r="E116" s="27"/>
      <c r="H116" s="26"/>
    </row>
    <row r="117" spans="1:8" ht="13" x14ac:dyDescent="0.6">
      <c r="A117" s="29"/>
      <c r="B117" s="29"/>
      <c r="C117" s="28"/>
      <c r="D117" s="28"/>
      <c r="E117" s="27"/>
      <c r="H117" s="26"/>
    </row>
    <row r="118" spans="1:8" ht="13" x14ac:dyDescent="0.6">
      <c r="A118" s="29"/>
      <c r="B118" s="29"/>
      <c r="C118" s="28"/>
      <c r="D118" s="28"/>
      <c r="E118" s="27"/>
      <c r="H118" s="26"/>
    </row>
    <row r="119" spans="1:8" ht="13" x14ac:dyDescent="0.6">
      <c r="A119" s="29"/>
      <c r="B119" s="29"/>
      <c r="C119" s="28"/>
      <c r="D119" s="28"/>
      <c r="E119" s="27"/>
      <c r="H119" s="26"/>
    </row>
    <row r="120" spans="1:8" ht="13" x14ac:dyDescent="0.6">
      <c r="A120" s="29"/>
      <c r="B120" s="29"/>
      <c r="C120" s="28"/>
      <c r="D120" s="28"/>
      <c r="E120" s="27"/>
      <c r="H120" s="26"/>
    </row>
    <row r="121" spans="1:8" ht="13" x14ac:dyDescent="0.6">
      <c r="A121" s="29"/>
      <c r="B121" s="29"/>
      <c r="C121" s="28"/>
      <c r="D121" s="28"/>
      <c r="E121" s="27"/>
      <c r="H121" s="26"/>
    </row>
    <row r="122" spans="1:8" ht="13" x14ac:dyDescent="0.6">
      <c r="A122" s="29"/>
      <c r="B122" s="29"/>
      <c r="C122" s="28"/>
      <c r="D122" s="28"/>
      <c r="E122" s="27"/>
      <c r="H122" s="26"/>
    </row>
    <row r="123" spans="1:8" ht="13" x14ac:dyDescent="0.6">
      <c r="A123" s="29"/>
      <c r="B123" s="29"/>
      <c r="C123" s="28"/>
      <c r="D123" s="28"/>
      <c r="E123" s="27"/>
      <c r="H123" s="26"/>
    </row>
    <row r="124" spans="1:8" ht="13" x14ac:dyDescent="0.6">
      <c r="A124" s="29"/>
      <c r="B124" s="29"/>
      <c r="C124" s="28"/>
      <c r="D124" s="28"/>
      <c r="E124" s="27"/>
      <c r="H124" s="26"/>
    </row>
    <row r="125" spans="1:8" ht="13" x14ac:dyDescent="0.6">
      <c r="A125" s="29"/>
      <c r="B125" s="29"/>
      <c r="C125" s="28"/>
      <c r="D125" s="28"/>
      <c r="E125" s="27"/>
      <c r="H125" s="26"/>
    </row>
    <row r="126" spans="1:8" ht="13" x14ac:dyDescent="0.6">
      <c r="A126" s="29"/>
      <c r="B126" s="29"/>
      <c r="C126" s="28"/>
      <c r="D126" s="28"/>
      <c r="E126" s="27"/>
      <c r="H126" s="26"/>
    </row>
    <row r="127" spans="1:8" ht="13" x14ac:dyDescent="0.6">
      <c r="A127" s="29"/>
      <c r="B127" s="29"/>
      <c r="C127" s="28"/>
      <c r="D127" s="28"/>
      <c r="E127" s="27"/>
      <c r="H127" s="26"/>
    </row>
    <row r="128" spans="1:8" ht="13" x14ac:dyDescent="0.6">
      <c r="A128" s="29"/>
      <c r="B128" s="29"/>
      <c r="C128" s="28"/>
      <c r="D128" s="28"/>
      <c r="E128" s="27"/>
      <c r="H128" s="26"/>
    </row>
    <row r="129" spans="1:8" ht="13" x14ac:dyDescent="0.6">
      <c r="A129" s="29"/>
      <c r="B129" s="29"/>
      <c r="C129" s="28"/>
      <c r="D129" s="28"/>
      <c r="E129" s="27"/>
      <c r="H129" s="26"/>
    </row>
    <row r="130" spans="1:8" ht="13" x14ac:dyDescent="0.6">
      <c r="A130" s="29"/>
      <c r="B130" s="29"/>
      <c r="C130" s="28"/>
      <c r="D130" s="28"/>
      <c r="E130" s="27"/>
      <c r="H130" s="26"/>
    </row>
    <row r="131" spans="1:8" ht="13" x14ac:dyDescent="0.6">
      <c r="A131" s="29"/>
      <c r="B131" s="29"/>
      <c r="C131" s="28"/>
      <c r="D131" s="28"/>
      <c r="E131" s="27"/>
      <c r="H131" s="26"/>
    </row>
    <row r="132" spans="1:8" ht="13" x14ac:dyDescent="0.6">
      <c r="A132" s="29"/>
      <c r="B132" s="29"/>
      <c r="C132" s="28"/>
      <c r="D132" s="28"/>
      <c r="E132" s="27"/>
      <c r="H132" s="26"/>
    </row>
    <row r="133" spans="1:8" ht="13" x14ac:dyDescent="0.6">
      <c r="A133" s="29"/>
      <c r="B133" s="29"/>
      <c r="C133" s="28"/>
      <c r="D133" s="28"/>
      <c r="E133" s="27"/>
      <c r="H133" s="26"/>
    </row>
    <row r="134" spans="1:8" ht="13" x14ac:dyDescent="0.6">
      <c r="A134" s="29"/>
      <c r="B134" s="29"/>
      <c r="C134" s="28"/>
      <c r="D134" s="28"/>
      <c r="E134" s="27"/>
      <c r="H134" s="26"/>
    </row>
    <row r="135" spans="1:8" ht="13" x14ac:dyDescent="0.6">
      <c r="A135" s="29"/>
      <c r="B135" s="29"/>
      <c r="C135" s="28"/>
      <c r="D135" s="28"/>
      <c r="E135" s="27"/>
      <c r="H135" s="26"/>
    </row>
    <row r="136" spans="1:8" ht="13" x14ac:dyDescent="0.6">
      <c r="A136" s="29"/>
      <c r="B136" s="29"/>
      <c r="C136" s="28"/>
      <c r="D136" s="28"/>
      <c r="E136" s="27"/>
      <c r="H136" s="26"/>
    </row>
    <row r="137" spans="1:8" ht="13" x14ac:dyDescent="0.6">
      <c r="A137" s="29"/>
      <c r="B137" s="29"/>
      <c r="C137" s="28"/>
      <c r="D137" s="28"/>
      <c r="E137" s="27"/>
      <c r="H137" s="26"/>
    </row>
    <row r="138" spans="1:8" ht="13" x14ac:dyDescent="0.6">
      <c r="A138" s="29"/>
      <c r="B138" s="29"/>
      <c r="C138" s="28"/>
      <c r="D138" s="28"/>
      <c r="E138" s="27"/>
      <c r="H138" s="26"/>
    </row>
    <row r="139" spans="1:8" ht="13" x14ac:dyDescent="0.6">
      <c r="A139" s="29"/>
      <c r="B139" s="29"/>
      <c r="C139" s="28"/>
      <c r="D139" s="28"/>
      <c r="E139" s="27"/>
      <c r="H139" s="26"/>
    </row>
    <row r="140" spans="1:8" ht="13" x14ac:dyDescent="0.6">
      <c r="A140" s="29"/>
      <c r="B140" s="29"/>
      <c r="C140" s="28"/>
      <c r="D140" s="28"/>
      <c r="E140" s="27"/>
      <c r="H140" s="26"/>
    </row>
    <row r="141" spans="1:8" ht="13" x14ac:dyDescent="0.6">
      <c r="A141" s="29"/>
      <c r="B141" s="29"/>
      <c r="C141" s="28"/>
      <c r="D141" s="28"/>
      <c r="E141" s="27"/>
      <c r="H141" s="26"/>
    </row>
    <row r="142" spans="1:8" ht="13" x14ac:dyDescent="0.6">
      <c r="A142" s="29"/>
      <c r="B142" s="29"/>
      <c r="C142" s="28"/>
      <c r="D142" s="28"/>
      <c r="E142" s="27"/>
      <c r="H142" s="26"/>
    </row>
    <row r="143" spans="1:8" ht="13" x14ac:dyDescent="0.6">
      <c r="A143" s="29"/>
      <c r="B143" s="29"/>
      <c r="C143" s="28"/>
      <c r="D143" s="28"/>
      <c r="E143" s="27"/>
      <c r="H143" s="26"/>
    </row>
    <row r="144" spans="1:8" ht="13" x14ac:dyDescent="0.6">
      <c r="A144" s="29"/>
      <c r="B144" s="29"/>
      <c r="C144" s="28"/>
      <c r="D144" s="28"/>
      <c r="E144" s="27"/>
      <c r="H144" s="26"/>
    </row>
    <row r="145" spans="1:8" ht="13" x14ac:dyDescent="0.6">
      <c r="A145" s="29"/>
      <c r="B145" s="29"/>
      <c r="C145" s="28"/>
      <c r="D145" s="28"/>
      <c r="E145" s="27"/>
      <c r="H145" s="26"/>
    </row>
    <row r="146" spans="1:8" ht="13" x14ac:dyDescent="0.6">
      <c r="A146" s="29"/>
      <c r="B146" s="29"/>
      <c r="C146" s="28"/>
      <c r="D146" s="28"/>
      <c r="E146" s="27"/>
      <c r="H146" s="26"/>
    </row>
    <row r="147" spans="1:8" ht="13" x14ac:dyDescent="0.6">
      <c r="A147" s="29"/>
      <c r="B147" s="29"/>
      <c r="C147" s="28"/>
      <c r="D147" s="28"/>
      <c r="E147" s="27"/>
      <c r="H147" s="26"/>
    </row>
    <row r="148" spans="1:8" ht="13" x14ac:dyDescent="0.6">
      <c r="A148" s="29"/>
      <c r="B148" s="29"/>
      <c r="C148" s="28"/>
      <c r="D148" s="28"/>
      <c r="E148" s="27"/>
      <c r="H148" s="26"/>
    </row>
    <row r="149" spans="1:8" ht="13" x14ac:dyDescent="0.6">
      <c r="A149" s="29"/>
      <c r="B149" s="29"/>
      <c r="C149" s="28"/>
      <c r="D149" s="28"/>
      <c r="E149" s="27"/>
      <c r="H149" s="26"/>
    </row>
    <row r="150" spans="1:8" ht="13" x14ac:dyDescent="0.6">
      <c r="A150" s="29"/>
      <c r="B150" s="29"/>
      <c r="C150" s="28"/>
      <c r="D150" s="28"/>
      <c r="E150" s="27"/>
      <c r="H150" s="26"/>
    </row>
    <row r="151" spans="1:8" ht="13" x14ac:dyDescent="0.6">
      <c r="A151" s="29"/>
      <c r="B151" s="29"/>
      <c r="C151" s="28"/>
      <c r="D151" s="28"/>
      <c r="E151" s="27"/>
      <c r="H151" s="26"/>
    </row>
    <row r="152" spans="1:8" ht="13" x14ac:dyDescent="0.6">
      <c r="A152" s="29"/>
      <c r="B152" s="29"/>
      <c r="C152" s="28"/>
      <c r="D152" s="28"/>
      <c r="E152" s="27"/>
      <c r="H152" s="26"/>
    </row>
    <row r="153" spans="1:8" ht="13" x14ac:dyDescent="0.6">
      <c r="A153" s="29"/>
      <c r="B153" s="29"/>
      <c r="C153" s="28"/>
      <c r="D153" s="28"/>
      <c r="E153" s="27"/>
      <c r="H153" s="26"/>
    </row>
    <row r="154" spans="1:8" ht="13" x14ac:dyDescent="0.6">
      <c r="A154" s="29"/>
      <c r="B154" s="29"/>
      <c r="C154" s="28"/>
      <c r="D154" s="28"/>
      <c r="E154" s="27"/>
      <c r="H154" s="26"/>
    </row>
    <row r="155" spans="1:8" ht="13" x14ac:dyDescent="0.6">
      <c r="A155" s="29"/>
      <c r="B155" s="29"/>
      <c r="C155" s="28"/>
      <c r="D155" s="28"/>
      <c r="E155" s="27"/>
      <c r="H155" s="26"/>
    </row>
    <row r="156" spans="1:8" ht="13" x14ac:dyDescent="0.6">
      <c r="A156" s="29"/>
      <c r="B156" s="29"/>
      <c r="C156" s="28"/>
      <c r="D156" s="28"/>
      <c r="E156" s="27"/>
      <c r="H156" s="26"/>
    </row>
    <row r="157" spans="1:8" ht="13" x14ac:dyDescent="0.6">
      <c r="A157" s="29"/>
      <c r="B157" s="29"/>
      <c r="C157" s="28"/>
      <c r="D157" s="28"/>
      <c r="E157" s="27"/>
      <c r="H157" s="26"/>
    </row>
    <row r="158" spans="1:8" ht="13" x14ac:dyDescent="0.6">
      <c r="A158" s="29"/>
      <c r="B158" s="29"/>
      <c r="C158" s="28"/>
      <c r="D158" s="28"/>
      <c r="E158" s="27"/>
      <c r="H158" s="26"/>
    </row>
    <row r="159" spans="1:8" ht="13" x14ac:dyDescent="0.6">
      <c r="A159" s="29"/>
      <c r="B159" s="29"/>
      <c r="C159" s="28"/>
      <c r="D159" s="28"/>
      <c r="E159" s="27"/>
      <c r="H159" s="26"/>
    </row>
    <row r="160" spans="1:8" ht="13" x14ac:dyDescent="0.6">
      <c r="A160" s="29"/>
      <c r="B160" s="29"/>
      <c r="C160" s="28"/>
      <c r="D160" s="28"/>
      <c r="E160" s="27"/>
      <c r="H160" s="26"/>
    </row>
    <row r="161" spans="1:8" ht="13" x14ac:dyDescent="0.6">
      <c r="A161" s="29"/>
      <c r="B161" s="29"/>
      <c r="C161" s="28"/>
      <c r="D161" s="28"/>
      <c r="E161" s="27"/>
      <c r="H161" s="26"/>
    </row>
    <row r="162" spans="1:8" ht="13" x14ac:dyDescent="0.6">
      <c r="A162" s="29"/>
      <c r="B162" s="29"/>
      <c r="C162" s="28"/>
      <c r="D162" s="28"/>
      <c r="E162" s="27"/>
      <c r="H162" s="26"/>
    </row>
    <row r="163" spans="1:8" ht="13" x14ac:dyDescent="0.6">
      <c r="A163" s="29"/>
      <c r="B163" s="29"/>
      <c r="C163" s="28"/>
      <c r="D163" s="28"/>
      <c r="E163" s="27"/>
      <c r="H163" s="26"/>
    </row>
    <row r="164" spans="1:8" ht="13" x14ac:dyDescent="0.6">
      <c r="A164" s="29"/>
      <c r="B164" s="29"/>
      <c r="C164" s="28"/>
      <c r="D164" s="28"/>
      <c r="E164" s="27"/>
      <c r="H164" s="26"/>
    </row>
    <row r="165" spans="1:8" ht="13" x14ac:dyDescent="0.6">
      <c r="A165" s="29"/>
      <c r="B165" s="29"/>
      <c r="C165" s="28"/>
      <c r="D165" s="28"/>
      <c r="E165" s="27"/>
      <c r="H165" s="26"/>
    </row>
    <row r="166" spans="1:8" ht="13" x14ac:dyDescent="0.6">
      <c r="A166" s="29"/>
      <c r="B166" s="29"/>
      <c r="C166" s="28"/>
      <c r="D166" s="28"/>
      <c r="E166" s="27"/>
      <c r="H166" s="26"/>
    </row>
    <row r="167" spans="1:8" ht="13" x14ac:dyDescent="0.6">
      <c r="A167" s="29"/>
      <c r="B167" s="29"/>
      <c r="C167" s="28"/>
      <c r="D167" s="28"/>
      <c r="E167" s="27"/>
      <c r="H167" s="26"/>
    </row>
    <row r="168" spans="1:8" ht="13" x14ac:dyDescent="0.6">
      <c r="A168" s="29"/>
      <c r="B168" s="29"/>
      <c r="C168" s="28"/>
      <c r="D168" s="28"/>
      <c r="E168" s="27"/>
      <c r="H168" s="26"/>
    </row>
    <row r="169" spans="1:8" ht="13" x14ac:dyDescent="0.6">
      <c r="A169" s="29"/>
      <c r="B169" s="29"/>
      <c r="C169" s="28"/>
      <c r="D169" s="28"/>
      <c r="E169" s="27"/>
      <c r="H169" s="26"/>
    </row>
    <row r="170" spans="1:8" ht="13" x14ac:dyDescent="0.6">
      <c r="A170" s="29"/>
      <c r="B170" s="29"/>
      <c r="C170" s="28"/>
      <c r="D170" s="28"/>
      <c r="E170" s="27"/>
      <c r="H170" s="26"/>
    </row>
    <row r="171" spans="1:8" ht="13" x14ac:dyDescent="0.6">
      <c r="A171" s="29"/>
      <c r="B171" s="29"/>
      <c r="C171" s="28"/>
      <c r="D171" s="28"/>
      <c r="E171" s="27"/>
      <c r="H171" s="26"/>
    </row>
    <row r="172" spans="1:8" ht="13" x14ac:dyDescent="0.6">
      <c r="A172" s="29"/>
      <c r="B172" s="29"/>
      <c r="C172" s="28"/>
      <c r="D172" s="28"/>
      <c r="E172" s="27"/>
      <c r="H172" s="26"/>
    </row>
    <row r="173" spans="1:8" ht="13" x14ac:dyDescent="0.6">
      <c r="A173" s="29"/>
      <c r="B173" s="29"/>
      <c r="C173" s="28"/>
      <c r="D173" s="28"/>
      <c r="E173" s="27"/>
      <c r="H173" s="26"/>
    </row>
    <row r="174" spans="1:8" ht="13" x14ac:dyDescent="0.6">
      <c r="A174" s="29"/>
      <c r="B174" s="29"/>
      <c r="C174" s="28"/>
      <c r="D174" s="28"/>
      <c r="E174" s="27"/>
      <c r="H174" s="26"/>
    </row>
    <row r="175" spans="1:8" ht="13" x14ac:dyDescent="0.6">
      <c r="A175" s="29"/>
      <c r="B175" s="29"/>
      <c r="C175" s="28"/>
      <c r="D175" s="28"/>
      <c r="E175" s="27"/>
      <c r="H175" s="26"/>
    </row>
    <row r="176" spans="1:8" ht="13" x14ac:dyDescent="0.6">
      <c r="A176" s="29"/>
      <c r="B176" s="29"/>
      <c r="C176" s="28"/>
      <c r="D176" s="28"/>
      <c r="E176" s="27"/>
      <c r="H176" s="26"/>
    </row>
    <row r="177" spans="1:8" ht="13" x14ac:dyDescent="0.6">
      <c r="A177" s="29"/>
      <c r="B177" s="29"/>
      <c r="C177" s="28"/>
      <c r="D177" s="28"/>
      <c r="E177" s="27"/>
      <c r="H177" s="26"/>
    </row>
    <row r="178" spans="1:8" ht="13" x14ac:dyDescent="0.6">
      <c r="A178" s="29"/>
      <c r="B178" s="29"/>
      <c r="C178" s="28"/>
      <c r="D178" s="28"/>
      <c r="E178" s="27"/>
      <c r="H178" s="26"/>
    </row>
    <row r="179" spans="1:8" ht="13" x14ac:dyDescent="0.6">
      <c r="A179" s="29"/>
      <c r="B179" s="29"/>
      <c r="C179" s="28"/>
      <c r="D179" s="28"/>
      <c r="E179" s="27"/>
      <c r="H179" s="26"/>
    </row>
    <row r="180" spans="1:8" ht="13" x14ac:dyDescent="0.6">
      <c r="A180" s="29"/>
      <c r="B180" s="29"/>
      <c r="C180" s="28"/>
      <c r="D180" s="28"/>
      <c r="E180" s="27"/>
      <c r="H180" s="26"/>
    </row>
    <row r="181" spans="1:8" ht="13" x14ac:dyDescent="0.6">
      <c r="A181" s="29"/>
      <c r="B181" s="29"/>
      <c r="C181" s="28"/>
      <c r="D181" s="28"/>
      <c r="E181" s="27"/>
      <c r="H181" s="26"/>
    </row>
    <row r="182" spans="1:8" ht="13" x14ac:dyDescent="0.6">
      <c r="A182" s="29"/>
      <c r="B182" s="29"/>
      <c r="C182" s="28"/>
      <c r="D182" s="28"/>
      <c r="E182" s="27"/>
      <c r="H182" s="26"/>
    </row>
    <row r="183" spans="1:8" ht="13" x14ac:dyDescent="0.6">
      <c r="A183" s="29"/>
      <c r="B183" s="29"/>
      <c r="C183" s="28"/>
      <c r="D183" s="28"/>
      <c r="E183" s="27"/>
      <c r="H183" s="26"/>
    </row>
    <row r="184" spans="1:8" ht="13" x14ac:dyDescent="0.6">
      <c r="A184" s="29"/>
      <c r="B184" s="29"/>
      <c r="C184" s="28"/>
      <c r="D184" s="28"/>
      <c r="E184" s="27"/>
      <c r="H184" s="26"/>
    </row>
    <row r="185" spans="1:8" ht="13" x14ac:dyDescent="0.6">
      <c r="A185" s="29"/>
      <c r="B185" s="29"/>
      <c r="C185" s="28"/>
      <c r="D185" s="28"/>
      <c r="E185" s="27"/>
      <c r="H185" s="26"/>
    </row>
    <row r="186" spans="1:8" ht="13" x14ac:dyDescent="0.6">
      <c r="A186" s="29"/>
      <c r="B186" s="29"/>
      <c r="C186" s="28"/>
      <c r="D186" s="28"/>
      <c r="E186" s="27"/>
      <c r="H186" s="26"/>
    </row>
    <row r="187" spans="1:8" ht="13" x14ac:dyDescent="0.6">
      <c r="A187" s="29"/>
      <c r="B187" s="29"/>
      <c r="C187" s="28"/>
      <c r="D187" s="28"/>
      <c r="E187" s="27"/>
      <c r="H187" s="26"/>
    </row>
    <row r="188" spans="1:8" ht="13" x14ac:dyDescent="0.6">
      <c r="A188" s="29"/>
      <c r="B188" s="29"/>
      <c r="C188" s="28"/>
      <c r="D188" s="28"/>
      <c r="E188" s="27"/>
      <c r="H188" s="26"/>
    </row>
    <row r="189" spans="1:8" ht="13" x14ac:dyDescent="0.6">
      <c r="A189" s="29"/>
      <c r="B189" s="29"/>
      <c r="C189" s="28"/>
      <c r="D189" s="28"/>
      <c r="E189" s="27"/>
      <c r="H189" s="26"/>
    </row>
    <row r="190" spans="1:8" ht="13" x14ac:dyDescent="0.6">
      <c r="A190" s="29"/>
      <c r="B190" s="29"/>
      <c r="C190" s="28"/>
      <c r="D190" s="28"/>
      <c r="E190" s="27"/>
      <c r="H190" s="26"/>
    </row>
    <row r="191" spans="1:8" ht="13" x14ac:dyDescent="0.6">
      <c r="A191" s="29"/>
      <c r="B191" s="29"/>
      <c r="C191" s="28"/>
      <c r="D191" s="28"/>
      <c r="E191" s="27"/>
      <c r="H191" s="26"/>
    </row>
    <row r="192" spans="1:8" ht="13" x14ac:dyDescent="0.6">
      <c r="A192" s="29"/>
      <c r="B192" s="29"/>
      <c r="C192" s="28"/>
      <c r="D192" s="28"/>
      <c r="E192" s="27"/>
      <c r="H192" s="26"/>
    </row>
    <row r="193" spans="1:8" ht="13" x14ac:dyDescent="0.6">
      <c r="A193" s="29"/>
      <c r="B193" s="29"/>
      <c r="C193" s="28"/>
      <c r="D193" s="28"/>
      <c r="E193" s="27"/>
      <c r="H193" s="26"/>
    </row>
    <row r="194" spans="1:8" ht="13" x14ac:dyDescent="0.6">
      <c r="A194" s="29"/>
      <c r="B194" s="29"/>
      <c r="C194" s="28"/>
      <c r="D194" s="28"/>
      <c r="E194" s="27"/>
      <c r="H194" s="26"/>
    </row>
    <row r="195" spans="1:8" ht="13" x14ac:dyDescent="0.6">
      <c r="A195" s="29"/>
      <c r="B195" s="29"/>
      <c r="C195" s="28"/>
      <c r="D195" s="28"/>
      <c r="E195" s="27"/>
      <c r="H195" s="26"/>
    </row>
    <row r="196" spans="1:8" ht="13" x14ac:dyDescent="0.6">
      <c r="A196" s="29"/>
      <c r="B196" s="29"/>
      <c r="C196" s="28"/>
      <c r="D196" s="28"/>
      <c r="E196" s="27"/>
      <c r="H196" s="26"/>
    </row>
    <row r="197" spans="1:8" ht="13" x14ac:dyDescent="0.6">
      <c r="A197" s="29"/>
      <c r="B197" s="29"/>
      <c r="C197" s="28"/>
      <c r="D197" s="28"/>
      <c r="E197" s="27"/>
      <c r="H197" s="26"/>
    </row>
    <row r="198" spans="1:8" ht="13" x14ac:dyDescent="0.6">
      <c r="A198" s="29"/>
      <c r="B198" s="29"/>
      <c r="C198" s="28"/>
      <c r="D198" s="28"/>
      <c r="E198" s="27"/>
      <c r="H198" s="26"/>
    </row>
    <row r="199" spans="1:8" ht="13" x14ac:dyDescent="0.6">
      <c r="A199" s="29"/>
      <c r="B199" s="29"/>
      <c r="C199" s="28"/>
      <c r="D199" s="28"/>
      <c r="E199" s="27"/>
      <c r="H199" s="26"/>
    </row>
    <row r="200" spans="1:8" ht="13" x14ac:dyDescent="0.6">
      <c r="A200" s="29"/>
      <c r="B200" s="29"/>
      <c r="C200" s="28"/>
      <c r="D200" s="28"/>
      <c r="E200" s="27"/>
      <c r="H200" s="26"/>
    </row>
    <row r="201" spans="1:8" ht="13" x14ac:dyDescent="0.6">
      <c r="A201" s="29"/>
      <c r="B201" s="29"/>
      <c r="C201" s="28"/>
      <c r="D201" s="28"/>
      <c r="E201" s="27"/>
      <c r="H201" s="26"/>
    </row>
    <row r="202" spans="1:8" ht="13" x14ac:dyDescent="0.6">
      <c r="A202" s="29"/>
      <c r="B202" s="29"/>
      <c r="C202" s="28"/>
      <c r="D202" s="28"/>
      <c r="E202" s="27"/>
      <c r="H202" s="26"/>
    </row>
    <row r="203" spans="1:8" ht="13" x14ac:dyDescent="0.6">
      <c r="A203" s="29"/>
      <c r="B203" s="29"/>
      <c r="C203" s="28"/>
      <c r="D203" s="28"/>
      <c r="E203" s="27"/>
      <c r="H203" s="26"/>
    </row>
    <row r="204" spans="1:8" ht="13" x14ac:dyDescent="0.6">
      <c r="A204" s="29"/>
      <c r="B204" s="29"/>
      <c r="C204" s="28"/>
      <c r="D204" s="28"/>
      <c r="E204" s="27"/>
      <c r="H204" s="26"/>
    </row>
    <row r="205" spans="1:8" ht="13" x14ac:dyDescent="0.6">
      <c r="A205" s="29"/>
      <c r="B205" s="29"/>
      <c r="C205" s="28"/>
      <c r="D205" s="28"/>
      <c r="E205" s="27"/>
      <c r="H205" s="26"/>
    </row>
    <row r="206" spans="1:8" ht="13" x14ac:dyDescent="0.6">
      <c r="A206" s="29"/>
      <c r="B206" s="29"/>
      <c r="C206" s="28"/>
      <c r="D206" s="28"/>
      <c r="E206" s="27"/>
      <c r="H206" s="26"/>
    </row>
    <row r="207" spans="1:8" ht="13" x14ac:dyDescent="0.6">
      <c r="A207" s="29"/>
      <c r="B207" s="29"/>
      <c r="C207" s="28"/>
      <c r="D207" s="28"/>
      <c r="E207" s="27"/>
      <c r="H207" s="26"/>
    </row>
    <row r="208" spans="1:8" ht="13" x14ac:dyDescent="0.6">
      <c r="A208" s="29"/>
      <c r="B208" s="29"/>
      <c r="C208" s="28"/>
      <c r="D208" s="28"/>
      <c r="E208" s="27"/>
      <c r="H208" s="26"/>
    </row>
    <row r="209" spans="1:8" ht="13" x14ac:dyDescent="0.6">
      <c r="A209" s="29"/>
      <c r="B209" s="29"/>
      <c r="C209" s="28"/>
      <c r="D209" s="28"/>
      <c r="E209" s="27"/>
      <c r="H209" s="26"/>
    </row>
    <row r="210" spans="1:8" ht="13" x14ac:dyDescent="0.6">
      <c r="A210" s="29"/>
      <c r="B210" s="29"/>
      <c r="C210" s="28"/>
      <c r="D210" s="28"/>
      <c r="E210" s="27"/>
      <c r="H210" s="26"/>
    </row>
    <row r="211" spans="1:8" ht="13" x14ac:dyDescent="0.6">
      <c r="A211" s="29"/>
      <c r="B211" s="29"/>
      <c r="C211" s="28"/>
      <c r="D211" s="28"/>
      <c r="E211" s="27"/>
      <c r="H211" s="26"/>
    </row>
    <row r="212" spans="1:8" ht="13" x14ac:dyDescent="0.6">
      <c r="A212" s="29"/>
      <c r="B212" s="29"/>
      <c r="C212" s="28"/>
      <c r="D212" s="28"/>
      <c r="E212" s="27"/>
      <c r="H212" s="26"/>
    </row>
    <row r="213" spans="1:8" ht="13" x14ac:dyDescent="0.6">
      <c r="A213" s="29"/>
      <c r="B213" s="29"/>
      <c r="C213" s="28"/>
      <c r="D213" s="28"/>
      <c r="E213" s="27"/>
      <c r="H213" s="26"/>
    </row>
    <row r="214" spans="1:8" ht="13" x14ac:dyDescent="0.6">
      <c r="A214" s="29"/>
      <c r="B214" s="29"/>
      <c r="C214" s="28"/>
      <c r="D214" s="28"/>
      <c r="E214" s="27"/>
      <c r="H214" s="26"/>
    </row>
    <row r="215" spans="1:8" ht="13" x14ac:dyDescent="0.6">
      <c r="A215" s="29"/>
      <c r="B215" s="29"/>
      <c r="C215" s="28"/>
      <c r="D215" s="28"/>
      <c r="E215" s="27"/>
      <c r="H215" s="26"/>
    </row>
    <row r="216" spans="1:8" ht="13" x14ac:dyDescent="0.6">
      <c r="A216" s="29"/>
      <c r="B216" s="29"/>
      <c r="C216" s="28"/>
      <c r="D216" s="28"/>
      <c r="E216" s="27"/>
      <c r="H216" s="26"/>
    </row>
    <row r="217" spans="1:8" ht="13" x14ac:dyDescent="0.6">
      <c r="A217" s="29"/>
      <c r="B217" s="29"/>
      <c r="C217" s="28"/>
      <c r="D217" s="28"/>
      <c r="E217" s="27"/>
      <c r="H217" s="26"/>
    </row>
    <row r="218" spans="1:8" ht="13" x14ac:dyDescent="0.6">
      <c r="A218" s="29"/>
      <c r="B218" s="29"/>
      <c r="C218" s="28"/>
      <c r="D218" s="28"/>
      <c r="E218" s="27"/>
      <c r="H218" s="26"/>
    </row>
    <row r="219" spans="1:8" ht="13" x14ac:dyDescent="0.6">
      <c r="A219" s="29"/>
      <c r="B219" s="29"/>
      <c r="C219" s="28"/>
      <c r="D219" s="28"/>
      <c r="E219" s="27"/>
      <c r="H219" s="26"/>
    </row>
    <row r="220" spans="1:8" ht="13" x14ac:dyDescent="0.6">
      <c r="A220" s="29"/>
      <c r="B220" s="29"/>
      <c r="C220" s="28"/>
      <c r="D220" s="28"/>
      <c r="E220" s="27"/>
      <c r="H220" s="26"/>
    </row>
    <row r="221" spans="1:8" ht="13" x14ac:dyDescent="0.6">
      <c r="A221" s="29"/>
      <c r="B221" s="29"/>
      <c r="C221" s="28"/>
      <c r="D221" s="28"/>
      <c r="E221" s="27"/>
      <c r="H221" s="26"/>
    </row>
    <row r="222" spans="1:8" ht="13" x14ac:dyDescent="0.6">
      <c r="A222" s="29"/>
      <c r="B222" s="29"/>
      <c r="C222" s="28"/>
      <c r="D222" s="28"/>
      <c r="E222" s="27"/>
      <c r="H222" s="26"/>
    </row>
    <row r="223" spans="1:8" ht="13" x14ac:dyDescent="0.6">
      <c r="A223" s="29"/>
      <c r="B223" s="29"/>
      <c r="C223" s="28"/>
      <c r="D223" s="28"/>
      <c r="E223" s="27"/>
      <c r="H223" s="26"/>
    </row>
    <row r="224" spans="1:8" ht="13" x14ac:dyDescent="0.6">
      <c r="A224" s="29"/>
      <c r="B224" s="29"/>
      <c r="C224" s="28"/>
      <c r="D224" s="28"/>
      <c r="E224" s="27"/>
      <c r="H224" s="26"/>
    </row>
    <row r="225" spans="1:8" ht="13" x14ac:dyDescent="0.6">
      <c r="A225" s="29"/>
      <c r="B225" s="29"/>
      <c r="C225" s="28"/>
      <c r="D225" s="28"/>
      <c r="E225" s="27"/>
      <c r="H225" s="26"/>
    </row>
    <row r="226" spans="1:8" ht="13" x14ac:dyDescent="0.6">
      <c r="A226" s="29"/>
      <c r="B226" s="29"/>
      <c r="C226" s="28"/>
      <c r="D226" s="28"/>
      <c r="E226" s="27"/>
      <c r="H226" s="26"/>
    </row>
    <row r="227" spans="1:8" ht="13" x14ac:dyDescent="0.6">
      <c r="A227" s="29"/>
      <c r="B227" s="29"/>
      <c r="C227" s="28"/>
      <c r="D227" s="28"/>
      <c r="E227" s="27"/>
      <c r="H227" s="26"/>
    </row>
    <row r="228" spans="1:8" ht="13" x14ac:dyDescent="0.6">
      <c r="A228" s="29"/>
      <c r="B228" s="29"/>
      <c r="C228" s="28"/>
      <c r="D228" s="28"/>
      <c r="E228" s="27"/>
      <c r="H228" s="26"/>
    </row>
    <row r="229" spans="1:8" ht="13" x14ac:dyDescent="0.6">
      <c r="A229" s="29"/>
      <c r="B229" s="29"/>
      <c r="C229" s="28"/>
      <c r="D229" s="28"/>
      <c r="E229" s="27"/>
      <c r="H229" s="26"/>
    </row>
    <row r="230" spans="1:8" ht="13" x14ac:dyDescent="0.6">
      <c r="A230" s="29"/>
      <c r="B230" s="29"/>
      <c r="C230" s="28"/>
      <c r="D230" s="28"/>
      <c r="E230" s="27"/>
      <c r="H230" s="26"/>
    </row>
    <row r="231" spans="1:8" ht="13" x14ac:dyDescent="0.6">
      <c r="A231" s="29"/>
      <c r="B231" s="29"/>
      <c r="C231" s="28"/>
      <c r="D231" s="28"/>
      <c r="E231" s="27"/>
      <c r="H231" s="26"/>
    </row>
    <row r="232" spans="1:8" ht="13" x14ac:dyDescent="0.6">
      <c r="A232" s="29"/>
      <c r="B232" s="29"/>
      <c r="C232" s="28"/>
      <c r="D232" s="28"/>
      <c r="E232" s="27"/>
      <c r="H232" s="26"/>
    </row>
    <row r="233" spans="1:8" ht="13" x14ac:dyDescent="0.6">
      <c r="A233" s="29"/>
      <c r="B233" s="29"/>
      <c r="C233" s="28"/>
      <c r="D233" s="28"/>
      <c r="E233" s="27"/>
      <c r="H233" s="26"/>
    </row>
    <row r="234" spans="1:8" ht="13" x14ac:dyDescent="0.6">
      <c r="A234" s="29"/>
      <c r="B234" s="29"/>
      <c r="C234" s="28"/>
      <c r="D234" s="28"/>
      <c r="E234" s="27"/>
      <c r="H234" s="26"/>
    </row>
    <row r="235" spans="1:8" ht="13" x14ac:dyDescent="0.6">
      <c r="A235" s="29"/>
      <c r="B235" s="29"/>
      <c r="C235" s="28"/>
      <c r="D235" s="28"/>
      <c r="E235" s="27"/>
      <c r="H235" s="26"/>
    </row>
    <row r="236" spans="1:8" ht="13" x14ac:dyDescent="0.6">
      <c r="A236" s="29"/>
      <c r="B236" s="29"/>
      <c r="C236" s="28"/>
      <c r="D236" s="28"/>
      <c r="E236" s="27"/>
      <c r="H236" s="26"/>
    </row>
    <row r="237" spans="1:8" ht="13" x14ac:dyDescent="0.6">
      <c r="A237" s="29"/>
      <c r="B237" s="29"/>
      <c r="C237" s="28"/>
      <c r="D237" s="28"/>
      <c r="E237" s="27"/>
      <c r="H237" s="26"/>
    </row>
    <row r="238" spans="1:8" ht="13" x14ac:dyDescent="0.6">
      <c r="A238" s="29"/>
      <c r="B238" s="29"/>
      <c r="C238" s="28"/>
      <c r="D238" s="28"/>
      <c r="E238" s="27"/>
      <c r="H238" s="26"/>
    </row>
    <row r="239" spans="1:8" ht="13" x14ac:dyDescent="0.6">
      <c r="A239" s="29"/>
      <c r="B239" s="29"/>
      <c r="C239" s="28"/>
      <c r="D239" s="28"/>
      <c r="E239" s="27"/>
      <c r="H239" s="26"/>
    </row>
    <row r="240" spans="1:8" ht="13" x14ac:dyDescent="0.6">
      <c r="A240" s="29"/>
      <c r="B240" s="29"/>
      <c r="C240" s="28"/>
      <c r="D240" s="28"/>
      <c r="E240" s="27"/>
      <c r="H240" s="26"/>
    </row>
    <row r="241" spans="1:8" ht="13" x14ac:dyDescent="0.6">
      <c r="A241" s="29"/>
      <c r="B241" s="29"/>
      <c r="C241" s="28"/>
      <c r="D241" s="28"/>
      <c r="E241" s="27"/>
      <c r="H241" s="26"/>
    </row>
    <row r="242" spans="1:8" ht="13" x14ac:dyDescent="0.6">
      <c r="A242" s="29"/>
      <c r="B242" s="29"/>
      <c r="C242" s="28"/>
      <c r="D242" s="28"/>
      <c r="E242" s="27"/>
      <c r="H242" s="26"/>
    </row>
    <row r="243" spans="1:8" ht="13" x14ac:dyDescent="0.6">
      <c r="A243" s="29"/>
      <c r="B243" s="29"/>
      <c r="C243" s="28"/>
      <c r="D243" s="28"/>
      <c r="E243" s="27"/>
      <c r="H243" s="26"/>
    </row>
    <row r="244" spans="1:8" ht="13" x14ac:dyDescent="0.6">
      <c r="A244" s="29"/>
      <c r="B244" s="29"/>
      <c r="C244" s="28"/>
      <c r="D244" s="28"/>
      <c r="E244" s="27"/>
      <c r="H244" s="26"/>
    </row>
    <row r="245" spans="1:8" ht="13" x14ac:dyDescent="0.6">
      <c r="A245" s="29"/>
      <c r="B245" s="29"/>
      <c r="C245" s="28"/>
      <c r="D245" s="28"/>
      <c r="E245" s="27"/>
      <c r="H245" s="26"/>
    </row>
    <row r="246" spans="1:8" ht="13" x14ac:dyDescent="0.6">
      <c r="A246" s="29"/>
      <c r="B246" s="29"/>
      <c r="C246" s="28"/>
      <c r="D246" s="28"/>
      <c r="E246" s="27"/>
      <c r="H246" s="26"/>
    </row>
    <row r="247" spans="1:8" ht="13" x14ac:dyDescent="0.6">
      <c r="A247" s="29"/>
      <c r="B247" s="29"/>
      <c r="C247" s="28"/>
      <c r="D247" s="28"/>
      <c r="E247" s="27"/>
      <c r="H247" s="26"/>
    </row>
    <row r="248" spans="1:8" ht="13" x14ac:dyDescent="0.6">
      <c r="A248" s="29"/>
      <c r="B248" s="29"/>
      <c r="C248" s="28"/>
      <c r="D248" s="28"/>
      <c r="E248" s="27"/>
      <c r="H248" s="26"/>
    </row>
    <row r="249" spans="1:8" ht="13" x14ac:dyDescent="0.6">
      <c r="A249" s="29"/>
      <c r="B249" s="29"/>
      <c r="C249" s="28"/>
      <c r="D249" s="28"/>
      <c r="E249" s="27"/>
      <c r="H249" s="26"/>
    </row>
    <row r="250" spans="1:8" ht="13" x14ac:dyDescent="0.6">
      <c r="A250" s="29"/>
      <c r="B250" s="29"/>
      <c r="C250" s="28"/>
      <c r="D250" s="28"/>
      <c r="E250" s="27"/>
      <c r="H250" s="26"/>
    </row>
    <row r="251" spans="1:8" ht="13" x14ac:dyDescent="0.6">
      <c r="A251" s="29"/>
      <c r="B251" s="29"/>
      <c r="C251" s="28"/>
      <c r="D251" s="28"/>
      <c r="E251" s="27"/>
      <c r="H251" s="26"/>
    </row>
    <row r="252" spans="1:8" ht="13" x14ac:dyDescent="0.6">
      <c r="A252" s="29"/>
      <c r="B252" s="29"/>
      <c r="C252" s="28"/>
      <c r="D252" s="28"/>
      <c r="E252" s="27"/>
      <c r="H252" s="26"/>
    </row>
    <row r="253" spans="1:8" ht="13" x14ac:dyDescent="0.6">
      <c r="A253" s="29"/>
      <c r="B253" s="29"/>
      <c r="C253" s="28"/>
      <c r="D253" s="28"/>
      <c r="E253" s="27"/>
      <c r="H253" s="26"/>
    </row>
    <row r="254" spans="1:8" ht="13" x14ac:dyDescent="0.6">
      <c r="A254" s="29"/>
      <c r="B254" s="29"/>
      <c r="C254" s="28"/>
      <c r="D254" s="28"/>
      <c r="E254" s="27"/>
      <c r="H254" s="26"/>
    </row>
    <row r="255" spans="1:8" ht="13" x14ac:dyDescent="0.6">
      <c r="A255" s="29"/>
      <c r="B255" s="29"/>
      <c r="C255" s="28"/>
      <c r="D255" s="28"/>
      <c r="E255" s="27"/>
      <c r="H255" s="26"/>
    </row>
    <row r="256" spans="1:8" ht="13" x14ac:dyDescent="0.6">
      <c r="A256" s="29"/>
      <c r="B256" s="29"/>
      <c r="C256" s="28"/>
      <c r="D256" s="28"/>
      <c r="E256" s="27"/>
      <c r="H256" s="26"/>
    </row>
    <row r="257" spans="1:8" ht="13" x14ac:dyDescent="0.6">
      <c r="A257" s="29"/>
      <c r="B257" s="29"/>
      <c r="C257" s="28"/>
      <c r="D257" s="28"/>
      <c r="E257" s="27"/>
      <c r="H257" s="26"/>
    </row>
    <row r="258" spans="1:8" ht="13" x14ac:dyDescent="0.6">
      <c r="A258" s="29"/>
      <c r="B258" s="29"/>
      <c r="C258" s="28"/>
      <c r="D258" s="28"/>
      <c r="E258" s="27"/>
      <c r="H258" s="26"/>
    </row>
    <row r="259" spans="1:8" ht="13" x14ac:dyDescent="0.6">
      <c r="A259" s="29"/>
      <c r="B259" s="29"/>
      <c r="C259" s="28"/>
      <c r="D259" s="28"/>
      <c r="E259" s="27"/>
      <c r="H259" s="26"/>
    </row>
    <row r="260" spans="1:8" ht="13" x14ac:dyDescent="0.6">
      <c r="A260" s="29"/>
      <c r="B260" s="29"/>
      <c r="C260" s="28"/>
      <c r="D260" s="28"/>
      <c r="E260" s="27"/>
      <c r="H260" s="26"/>
    </row>
    <row r="261" spans="1:8" ht="13" x14ac:dyDescent="0.6">
      <c r="A261" s="29"/>
      <c r="B261" s="29"/>
      <c r="C261" s="28"/>
      <c r="D261" s="28"/>
      <c r="E261" s="27"/>
      <c r="H261" s="26"/>
    </row>
    <row r="262" spans="1:8" ht="13" x14ac:dyDescent="0.6">
      <c r="A262" s="29"/>
      <c r="B262" s="29"/>
      <c r="C262" s="28"/>
      <c r="D262" s="28"/>
      <c r="E262" s="27"/>
      <c r="H262" s="26"/>
    </row>
    <row r="263" spans="1:8" ht="13" x14ac:dyDescent="0.6">
      <c r="A263" s="29"/>
      <c r="B263" s="29"/>
      <c r="C263" s="28"/>
      <c r="D263" s="28"/>
      <c r="E263" s="27"/>
      <c r="H263" s="26"/>
    </row>
    <row r="264" spans="1:8" ht="13" x14ac:dyDescent="0.6">
      <c r="A264" s="29"/>
      <c r="B264" s="29"/>
      <c r="C264" s="28"/>
      <c r="D264" s="28"/>
      <c r="E264" s="27"/>
      <c r="H264" s="26"/>
    </row>
    <row r="265" spans="1:8" ht="13" x14ac:dyDescent="0.6">
      <c r="A265" s="29"/>
      <c r="B265" s="29"/>
      <c r="C265" s="28"/>
      <c r="D265" s="28"/>
      <c r="E265" s="27"/>
      <c r="H265" s="26"/>
    </row>
    <row r="266" spans="1:8" ht="13" x14ac:dyDescent="0.6">
      <c r="A266" s="29"/>
      <c r="B266" s="29"/>
      <c r="C266" s="28"/>
      <c r="D266" s="28"/>
      <c r="E266" s="27"/>
      <c r="H266" s="26"/>
    </row>
    <row r="267" spans="1:8" ht="13" x14ac:dyDescent="0.6">
      <c r="A267" s="29"/>
      <c r="B267" s="29"/>
      <c r="C267" s="28"/>
      <c r="D267" s="28"/>
      <c r="E267" s="27"/>
      <c r="H267" s="26"/>
    </row>
    <row r="268" spans="1:8" ht="13" x14ac:dyDescent="0.6">
      <c r="A268" s="29"/>
      <c r="B268" s="29"/>
      <c r="C268" s="28"/>
      <c r="D268" s="28"/>
      <c r="E268" s="27"/>
      <c r="H268" s="26"/>
    </row>
    <row r="269" spans="1:8" ht="13" x14ac:dyDescent="0.6">
      <c r="A269" s="29"/>
      <c r="B269" s="29"/>
      <c r="C269" s="28"/>
      <c r="D269" s="28"/>
      <c r="E269" s="27"/>
      <c r="H269" s="26"/>
    </row>
    <row r="270" spans="1:8" ht="13" x14ac:dyDescent="0.6">
      <c r="A270" s="29"/>
      <c r="B270" s="29"/>
      <c r="C270" s="28"/>
      <c r="D270" s="28"/>
      <c r="E270" s="27"/>
      <c r="H270" s="26"/>
    </row>
    <row r="271" spans="1:8" ht="13" x14ac:dyDescent="0.6">
      <c r="A271" s="29"/>
      <c r="B271" s="29"/>
      <c r="C271" s="28"/>
      <c r="D271" s="28"/>
      <c r="E271" s="27"/>
      <c r="H271" s="26"/>
    </row>
    <row r="272" spans="1:8" ht="13" x14ac:dyDescent="0.6">
      <c r="A272" s="29"/>
      <c r="B272" s="29"/>
      <c r="C272" s="28"/>
      <c r="D272" s="28"/>
      <c r="E272" s="27"/>
      <c r="H272" s="26"/>
    </row>
    <row r="273" spans="1:8" ht="13" x14ac:dyDescent="0.6">
      <c r="A273" s="29"/>
      <c r="B273" s="29"/>
      <c r="C273" s="28"/>
      <c r="D273" s="28"/>
      <c r="E273" s="27"/>
      <c r="H273" s="26"/>
    </row>
    <row r="274" spans="1:8" ht="13" x14ac:dyDescent="0.6">
      <c r="A274" s="29"/>
      <c r="B274" s="29"/>
      <c r="C274" s="28"/>
      <c r="D274" s="28"/>
      <c r="E274" s="27"/>
      <c r="H274" s="26"/>
    </row>
    <row r="275" spans="1:8" ht="13" x14ac:dyDescent="0.6">
      <c r="A275" s="29"/>
      <c r="B275" s="29"/>
      <c r="C275" s="28"/>
      <c r="D275" s="28"/>
      <c r="E275" s="27"/>
      <c r="H275" s="26"/>
    </row>
    <row r="276" spans="1:8" ht="13" x14ac:dyDescent="0.6">
      <c r="A276" s="29"/>
      <c r="B276" s="29"/>
      <c r="C276" s="28"/>
      <c r="D276" s="28"/>
      <c r="E276" s="27"/>
      <c r="H276" s="26"/>
    </row>
    <row r="277" spans="1:8" ht="13" x14ac:dyDescent="0.6">
      <c r="A277" s="29"/>
      <c r="B277" s="29"/>
      <c r="C277" s="28"/>
      <c r="D277" s="28"/>
      <c r="E277" s="27"/>
      <c r="H277" s="26"/>
    </row>
    <row r="278" spans="1:8" ht="13" x14ac:dyDescent="0.6">
      <c r="A278" s="29"/>
      <c r="B278" s="29"/>
      <c r="C278" s="28"/>
      <c r="D278" s="28"/>
      <c r="E278" s="27"/>
      <c r="H278" s="26"/>
    </row>
    <row r="279" spans="1:8" ht="13" x14ac:dyDescent="0.6">
      <c r="A279" s="29"/>
      <c r="B279" s="29"/>
      <c r="C279" s="28"/>
      <c r="D279" s="28"/>
      <c r="E279" s="27"/>
      <c r="H279" s="26"/>
    </row>
    <row r="280" spans="1:8" ht="13" x14ac:dyDescent="0.6">
      <c r="A280" s="29"/>
      <c r="B280" s="29"/>
      <c r="C280" s="28"/>
      <c r="D280" s="28"/>
      <c r="E280" s="27"/>
      <c r="H280" s="26"/>
    </row>
    <row r="281" spans="1:8" ht="13" x14ac:dyDescent="0.6">
      <c r="A281" s="29"/>
      <c r="B281" s="29"/>
      <c r="C281" s="28"/>
      <c r="D281" s="28"/>
      <c r="E281" s="27"/>
      <c r="H281" s="26"/>
    </row>
    <row r="282" spans="1:8" ht="13" x14ac:dyDescent="0.6">
      <c r="A282" s="29"/>
      <c r="B282" s="29"/>
      <c r="C282" s="28"/>
      <c r="D282" s="28"/>
      <c r="E282" s="27"/>
      <c r="H282" s="26"/>
    </row>
    <row r="283" spans="1:8" ht="13" x14ac:dyDescent="0.6">
      <c r="A283" s="29"/>
      <c r="B283" s="29"/>
      <c r="C283" s="28"/>
      <c r="D283" s="28"/>
      <c r="E283" s="27"/>
      <c r="H283" s="26"/>
    </row>
    <row r="284" spans="1:8" ht="13" x14ac:dyDescent="0.6">
      <c r="A284" s="29"/>
      <c r="B284" s="29"/>
      <c r="C284" s="28"/>
      <c r="D284" s="28"/>
      <c r="E284" s="27"/>
      <c r="H284" s="26"/>
    </row>
    <row r="285" spans="1:8" ht="13" x14ac:dyDescent="0.6">
      <c r="A285" s="29"/>
      <c r="B285" s="29"/>
      <c r="C285" s="28"/>
      <c r="D285" s="28"/>
      <c r="E285" s="27"/>
      <c r="H285" s="26"/>
    </row>
    <row r="286" spans="1:8" ht="13" x14ac:dyDescent="0.6">
      <c r="A286" s="29"/>
      <c r="B286" s="29"/>
      <c r="C286" s="28"/>
      <c r="D286" s="28"/>
      <c r="E286" s="27"/>
      <c r="H286" s="26"/>
    </row>
    <row r="287" spans="1:8" ht="13" x14ac:dyDescent="0.6">
      <c r="A287" s="29"/>
      <c r="B287" s="29"/>
      <c r="C287" s="28"/>
      <c r="D287" s="28"/>
      <c r="E287" s="27"/>
      <c r="H287" s="26"/>
    </row>
    <row r="288" spans="1:8" ht="13" x14ac:dyDescent="0.6">
      <c r="A288" s="29"/>
      <c r="B288" s="29"/>
      <c r="C288" s="28"/>
      <c r="D288" s="28"/>
      <c r="E288" s="27"/>
      <c r="H288" s="26"/>
    </row>
    <row r="289" spans="1:8" ht="13" x14ac:dyDescent="0.6">
      <c r="A289" s="29"/>
      <c r="B289" s="29"/>
      <c r="C289" s="28"/>
      <c r="D289" s="28"/>
      <c r="E289" s="27"/>
      <c r="H289" s="26"/>
    </row>
    <row r="290" spans="1:8" ht="13" x14ac:dyDescent="0.6">
      <c r="A290" s="29"/>
      <c r="B290" s="29"/>
      <c r="C290" s="28"/>
      <c r="D290" s="28"/>
      <c r="E290" s="27"/>
      <c r="H290" s="26"/>
    </row>
    <row r="291" spans="1:8" ht="13" x14ac:dyDescent="0.6">
      <c r="A291" s="29"/>
      <c r="B291" s="29"/>
      <c r="C291" s="28"/>
      <c r="D291" s="28"/>
      <c r="E291" s="27"/>
      <c r="H291" s="26"/>
    </row>
    <row r="292" spans="1:8" ht="13" x14ac:dyDescent="0.6">
      <c r="A292" s="29"/>
      <c r="B292" s="29"/>
      <c r="C292" s="28"/>
      <c r="D292" s="28"/>
      <c r="E292" s="27"/>
      <c r="H292" s="26"/>
    </row>
    <row r="293" spans="1:8" ht="13" x14ac:dyDescent="0.6">
      <c r="A293" s="29"/>
      <c r="B293" s="29"/>
      <c r="C293" s="28"/>
      <c r="D293" s="28"/>
      <c r="E293" s="27"/>
      <c r="H293" s="26"/>
    </row>
    <row r="294" spans="1:8" ht="13" x14ac:dyDescent="0.6">
      <c r="A294" s="29"/>
      <c r="B294" s="29"/>
      <c r="C294" s="28"/>
      <c r="D294" s="28"/>
      <c r="E294" s="27"/>
      <c r="H294" s="26"/>
    </row>
    <row r="295" spans="1:8" ht="13" x14ac:dyDescent="0.6">
      <c r="A295" s="29"/>
      <c r="B295" s="29"/>
      <c r="C295" s="28"/>
      <c r="D295" s="28"/>
      <c r="E295" s="27"/>
      <c r="H295" s="26"/>
    </row>
    <row r="296" spans="1:8" ht="13" x14ac:dyDescent="0.6">
      <c r="A296" s="29"/>
      <c r="B296" s="29"/>
      <c r="C296" s="28"/>
      <c r="D296" s="28"/>
      <c r="E296" s="27"/>
      <c r="H296" s="26"/>
    </row>
    <row r="297" spans="1:8" ht="13" x14ac:dyDescent="0.6">
      <c r="A297" s="29"/>
      <c r="B297" s="29"/>
      <c r="C297" s="28"/>
      <c r="D297" s="28"/>
      <c r="E297" s="27"/>
      <c r="H297" s="26"/>
    </row>
    <row r="298" spans="1:8" ht="13" x14ac:dyDescent="0.6">
      <c r="A298" s="29"/>
      <c r="B298" s="29"/>
      <c r="C298" s="28"/>
      <c r="D298" s="28"/>
      <c r="E298" s="27"/>
      <c r="H298" s="26"/>
    </row>
    <row r="299" spans="1:8" ht="13" x14ac:dyDescent="0.6">
      <c r="A299" s="29"/>
      <c r="B299" s="29"/>
      <c r="C299" s="28"/>
      <c r="D299" s="28"/>
      <c r="E299" s="27"/>
      <c r="H299" s="26"/>
    </row>
    <row r="300" spans="1:8" ht="13" x14ac:dyDescent="0.6">
      <c r="A300" s="29"/>
      <c r="B300" s="29"/>
      <c r="C300" s="28"/>
      <c r="D300" s="28"/>
      <c r="E300" s="27"/>
      <c r="H300" s="26"/>
    </row>
    <row r="301" spans="1:8" ht="13" x14ac:dyDescent="0.6">
      <c r="A301" s="29"/>
      <c r="B301" s="29"/>
      <c r="C301" s="28"/>
      <c r="D301" s="28"/>
      <c r="E301" s="27"/>
      <c r="H301" s="26"/>
    </row>
    <row r="302" spans="1:8" ht="13" x14ac:dyDescent="0.6">
      <c r="A302" s="29"/>
      <c r="B302" s="29"/>
      <c r="C302" s="28"/>
      <c r="D302" s="28"/>
      <c r="E302" s="27"/>
      <c r="H302" s="26"/>
    </row>
    <row r="303" spans="1:8" ht="13" x14ac:dyDescent="0.6">
      <c r="A303" s="29"/>
      <c r="B303" s="29"/>
      <c r="C303" s="28"/>
      <c r="D303" s="28"/>
      <c r="E303" s="27"/>
      <c r="H303" s="26"/>
    </row>
    <row r="304" spans="1:8" ht="13" x14ac:dyDescent="0.6">
      <c r="A304" s="29"/>
      <c r="B304" s="29"/>
      <c r="C304" s="28"/>
      <c r="D304" s="28"/>
      <c r="E304" s="27"/>
      <c r="H304" s="26"/>
    </row>
    <row r="305" spans="1:8" ht="13" x14ac:dyDescent="0.6">
      <c r="A305" s="29"/>
      <c r="B305" s="29"/>
      <c r="C305" s="28"/>
      <c r="D305" s="28"/>
      <c r="E305" s="27"/>
      <c r="H305" s="26"/>
    </row>
    <row r="306" spans="1:8" ht="13" x14ac:dyDescent="0.6">
      <c r="A306" s="29"/>
      <c r="B306" s="29"/>
      <c r="C306" s="28"/>
      <c r="D306" s="28"/>
      <c r="E306" s="27"/>
      <c r="H306" s="26"/>
    </row>
    <row r="307" spans="1:8" ht="13" x14ac:dyDescent="0.6">
      <c r="A307" s="29"/>
      <c r="B307" s="29"/>
      <c r="C307" s="28"/>
      <c r="D307" s="28"/>
      <c r="E307" s="27"/>
      <c r="H307" s="26"/>
    </row>
    <row r="308" spans="1:8" ht="13" x14ac:dyDescent="0.6">
      <c r="A308" s="29"/>
      <c r="B308" s="29"/>
      <c r="C308" s="28"/>
      <c r="D308" s="28"/>
      <c r="E308" s="27"/>
      <c r="H308" s="26"/>
    </row>
    <row r="309" spans="1:8" ht="13" x14ac:dyDescent="0.6">
      <c r="A309" s="29"/>
      <c r="B309" s="29"/>
      <c r="C309" s="28"/>
      <c r="D309" s="28"/>
      <c r="E309" s="27"/>
      <c r="H309" s="26"/>
    </row>
    <row r="310" spans="1:8" ht="13" x14ac:dyDescent="0.6">
      <c r="A310" s="29"/>
      <c r="B310" s="29"/>
      <c r="C310" s="28"/>
      <c r="D310" s="28"/>
      <c r="E310" s="27"/>
      <c r="H310" s="26"/>
    </row>
    <row r="311" spans="1:8" ht="13" x14ac:dyDescent="0.6">
      <c r="A311" s="29"/>
      <c r="B311" s="29"/>
      <c r="C311" s="28"/>
      <c r="D311" s="28"/>
      <c r="E311" s="27"/>
      <c r="H311" s="26"/>
    </row>
    <row r="312" spans="1:8" ht="13" x14ac:dyDescent="0.6">
      <c r="A312" s="29"/>
      <c r="B312" s="29"/>
      <c r="C312" s="28"/>
      <c r="D312" s="28"/>
      <c r="E312" s="27"/>
      <c r="H312" s="26"/>
    </row>
    <row r="313" spans="1:8" ht="13" x14ac:dyDescent="0.6">
      <c r="A313" s="29"/>
      <c r="B313" s="29"/>
      <c r="C313" s="28"/>
      <c r="D313" s="28"/>
      <c r="E313" s="27"/>
      <c r="H313" s="26"/>
    </row>
    <row r="314" spans="1:8" ht="13" x14ac:dyDescent="0.6">
      <c r="A314" s="29"/>
      <c r="B314" s="29"/>
      <c r="C314" s="28"/>
      <c r="D314" s="28"/>
      <c r="E314" s="27"/>
      <c r="H314" s="26"/>
    </row>
    <row r="315" spans="1:8" ht="13" x14ac:dyDescent="0.6">
      <c r="A315" s="29"/>
      <c r="B315" s="29"/>
      <c r="C315" s="28"/>
      <c r="D315" s="28"/>
      <c r="E315" s="27"/>
      <c r="H315" s="26"/>
    </row>
    <row r="316" spans="1:8" ht="13" x14ac:dyDescent="0.6">
      <c r="A316" s="29"/>
      <c r="B316" s="29"/>
      <c r="C316" s="28"/>
      <c r="D316" s="28"/>
      <c r="E316" s="27"/>
      <c r="H316" s="26"/>
    </row>
    <row r="317" spans="1:8" ht="13" x14ac:dyDescent="0.6">
      <c r="A317" s="29"/>
      <c r="B317" s="29"/>
      <c r="C317" s="28"/>
      <c r="D317" s="28"/>
      <c r="E317" s="27"/>
      <c r="H317" s="26"/>
    </row>
    <row r="318" spans="1:8" ht="13" x14ac:dyDescent="0.6">
      <c r="A318" s="29"/>
      <c r="B318" s="29"/>
      <c r="C318" s="28"/>
      <c r="D318" s="28"/>
      <c r="E318" s="27"/>
      <c r="H318" s="26"/>
    </row>
    <row r="319" spans="1:8" ht="13" x14ac:dyDescent="0.6">
      <c r="A319" s="29"/>
      <c r="B319" s="29"/>
      <c r="C319" s="28"/>
      <c r="D319" s="28"/>
      <c r="E319" s="27"/>
      <c r="H319" s="26"/>
    </row>
    <row r="320" spans="1:8" ht="13" x14ac:dyDescent="0.6">
      <c r="A320" s="29"/>
      <c r="B320" s="29"/>
      <c r="C320" s="28"/>
      <c r="D320" s="28"/>
      <c r="E320" s="27"/>
      <c r="H320" s="26"/>
    </row>
    <row r="321" spans="1:8" ht="13" x14ac:dyDescent="0.6">
      <c r="A321" s="29"/>
      <c r="B321" s="29"/>
      <c r="C321" s="28"/>
      <c r="D321" s="28"/>
      <c r="E321" s="27"/>
      <c r="H321" s="26"/>
    </row>
    <row r="322" spans="1:8" ht="13" x14ac:dyDescent="0.6">
      <c r="A322" s="29"/>
      <c r="B322" s="29"/>
      <c r="C322" s="28"/>
      <c r="D322" s="28"/>
      <c r="E322" s="27"/>
      <c r="H322" s="26"/>
    </row>
    <row r="323" spans="1:8" ht="13" x14ac:dyDescent="0.6">
      <c r="A323" s="29"/>
      <c r="B323" s="29"/>
      <c r="C323" s="28"/>
      <c r="D323" s="28"/>
      <c r="E323" s="27"/>
      <c r="H323" s="26"/>
    </row>
    <row r="324" spans="1:8" ht="13" x14ac:dyDescent="0.6">
      <c r="A324" s="29"/>
      <c r="B324" s="29"/>
      <c r="C324" s="28"/>
      <c r="D324" s="28"/>
      <c r="E324" s="27"/>
      <c r="H324" s="26"/>
    </row>
    <row r="325" spans="1:8" ht="13" x14ac:dyDescent="0.6">
      <c r="A325" s="29"/>
      <c r="B325" s="29"/>
      <c r="C325" s="28"/>
      <c r="D325" s="28"/>
      <c r="E325" s="27"/>
      <c r="H325" s="26"/>
    </row>
    <row r="326" spans="1:8" ht="13" x14ac:dyDescent="0.6">
      <c r="A326" s="29"/>
      <c r="B326" s="29"/>
      <c r="C326" s="28"/>
      <c r="D326" s="28"/>
      <c r="E326" s="27"/>
      <c r="H326" s="26"/>
    </row>
    <row r="327" spans="1:8" ht="13" x14ac:dyDescent="0.6">
      <c r="A327" s="29"/>
      <c r="B327" s="29"/>
      <c r="C327" s="28"/>
      <c r="D327" s="28"/>
      <c r="E327" s="27"/>
      <c r="H327" s="26"/>
    </row>
    <row r="328" spans="1:8" ht="13" x14ac:dyDescent="0.6">
      <c r="A328" s="29"/>
      <c r="B328" s="29"/>
      <c r="C328" s="28"/>
      <c r="D328" s="28"/>
      <c r="E328" s="27"/>
      <c r="H328" s="26"/>
    </row>
    <row r="329" spans="1:8" ht="13" x14ac:dyDescent="0.6">
      <c r="A329" s="29"/>
      <c r="B329" s="29"/>
      <c r="C329" s="28"/>
      <c r="D329" s="28"/>
      <c r="E329" s="27"/>
      <c r="H329" s="26"/>
    </row>
    <row r="330" spans="1:8" ht="13" x14ac:dyDescent="0.6">
      <c r="A330" s="29"/>
      <c r="B330" s="29"/>
      <c r="C330" s="28"/>
      <c r="D330" s="28"/>
      <c r="E330" s="27"/>
      <c r="H330" s="26"/>
    </row>
    <row r="331" spans="1:8" ht="13" x14ac:dyDescent="0.6">
      <c r="A331" s="29"/>
      <c r="B331" s="29"/>
      <c r="C331" s="28"/>
      <c r="D331" s="28"/>
      <c r="E331" s="27"/>
      <c r="H331" s="26"/>
    </row>
    <row r="332" spans="1:8" ht="13" x14ac:dyDescent="0.6">
      <c r="A332" s="29"/>
      <c r="B332" s="29"/>
      <c r="C332" s="28"/>
      <c r="D332" s="28"/>
      <c r="E332" s="27"/>
      <c r="H332" s="26"/>
    </row>
    <row r="333" spans="1:8" ht="13" x14ac:dyDescent="0.6">
      <c r="A333" s="29"/>
      <c r="B333" s="29"/>
      <c r="C333" s="28"/>
      <c r="D333" s="28"/>
      <c r="E333" s="27"/>
      <c r="H333" s="26"/>
    </row>
    <row r="334" spans="1:8" ht="13" x14ac:dyDescent="0.6">
      <c r="A334" s="29"/>
      <c r="B334" s="29"/>
      <c r="C334" s="28"/>
      <c r="D334" s="28"/>
      <c r="E334" s="27"/>
      <c r="H334" s="26"/>
    </row>
    <row r="335" spans="1:8" ht="13" x14ac:dyDescent="0.6">
      <c r="A335" s="29"/>
      <c r="B335" s="29"/>
      <c r="C335" s="28"/>
      <c r="D335" s="28"/>
      <c r="E335" s="27"/>
      <c r="H335" s="26"/>
    </row>
    <row r="336" spans="1:8" ht="13" x14ac:dyDescent="0.6">
      <c r="A336" s="29"/>
      <c r="B336" s="29"/>
      <c r="C336" s="28"/>
      <c r="D336" s="28"/>
      <c r="E336" s="27"/>
      <c r="H336" s="26"/>
    </row>
    <row r="337" spans="1:8" ht="13" x14ac:dyDescent="0.6">
      <c r="A337" s="29"/>
      <c r="B337" s="29"/>
      <c r="C337" s="28"/>
      <c r="D337" s="28"/>
      <c r="E337" s="27"/>
      <c r="H337" s="26"/>
    </row>
    <row r="338" spans="1:8" ht="13" x14ac:dyDescent="0.6">
      <c r="A338" s="29"/>
      <c r="B338" s="29"/>
      <c r="C338" s="28"/>
      <c r="D338" s="28"/>
      <c r="E338" s="27"/>
      <c r="H338" s="26"/>
    </row>
    <row r="339" spans="1:8" ht="13" x14ac:dyDescent="0.6">
      <c r="A339" s="29"/>
      <c r="B339" s="29"/>
      <c r="C339" s="28"/>
      <c r="D339" s="28"/>
      <c r="E339" s="27"/>
      <c r="H339" s="26"/>
    </row>
    <row r="340" spans="1:8" ht="13" x14ac:dyDescent="0.6">
      <c r="A340" s="29"/>
      <c r="B340" s="29"/>
      <c r="C340" s="28"/>
      <c r="D340" s="28"/>
      <c r="E340" s="27"/>
      <c r="H340" s="26"/>
    </row>
    <row r="341" spans="1:8" ht="13" x14ac:dyDescent="0.6">
      <c r="A341" s="29"/>
      <c r="B341" s="29"/>
      <c r="C341" s="28"/>
      <c r="D341" s="28"/>
      <c r="E341" s="27"/>
      <c r="H341" s="26"/>
    </row>
    <row r="342" spans="1:8" ht="13" x14ac:dyDescent="0.6">
      <c r="A342" s="29"/>
      <c r="B342" s="29"/>
      <c r="C342" s="28"/>
      <c r="D342" s="28"/>
      <c r="E342" s="27"/>
      <c r="H342" s="26"/>
    </row>
    <row r="343" spans="1:8" ht="13" x14ac:dyDescent="0.6">
      <c r="A343" s="29"/>
      <c r="B343" s="29"/>
      <c r="C343" s="28"/>
      <c r="D343" s="28"/>
      <c r="E343" s="27"/>
      <c r="H343" s="26"/>
    </row>
    <row r="344" spans="1:8" ht="13" x14ac:dyDescent="0.6">
      <c r="A344" s="29"/>
      <c r="B344" s="29"/>
      <c r="C344" s="28"/>
      <c r="D344" s="28"/>
      <c r="E344" s="27"/>
      <c r="H344" s="26"/>
    </row>
    <row r="345" spans="1:8" ht="13" x14ac:dyDescent="0.6">
      <c r="A345" s="29"/>
      <c r="B345" s="29"/>
      <c r="C345" s="28"/>
      <c r="D345" s="28"/>
      <c r="E345" s="27"/>
      <c r="H345" s="26"/>
    </row>
    <row r="346" spans="1:8" ht="13" x14ac:dyDescent="0.6">
      <c r="A346" s="29"/>
      <c r="B346" s="29"/>
      <c r="C346" s="28"/>
      <c r="D346" s="28"/>
      <c r="E346" s="27"/>
      <c r="H346" s="26"/>
    </row>
    <row r="347" spans="1:8" ht="13" x14ac:dyDescent="0.6">
      <c r="A347" s="29"/>
      <c r="B347" s="29"/>
      <c r="C347" s="28"/>
      <c r="D347" s="28"/>
      <c r="E347" s="27"/>
      <c r="H347" s="26"/>
    </row>
    <row r="348" spans="1:8" ht="13" x14ac:dyDescent="0.6">
      <c r="A348" s="29"/>
      <c r="B348" s="29"/>
      <c r="C348" s="28"/>
      <c r="D348" s="28"/>
      <c r="E348" s="27"/>
      <c r="H348" s="26"/>
    </row>
    <row r="349" spans="1:8" ht="13" x14ac:dyDescent="0.6">
      <c r="A349" s="29"/>
      <c r="B349" s="29"/>
      <c r="C349" s="28"/>
      <c r="D349" s="28"/>
      <c r="E349" s="27"/>
      <c r="H349" s="26"/>
    </row>
    <row r="350" spans="1:8" ht="13" x14ac:dyDescent="0.6">
      <c r="A350" s="29"/>
      <c r="B350" s="29"/>
      <c r="C350" s="28"/>
      <c r="D350" s="28"/>
      <c r="E350" s="27"/>
      <c r="H350" s="26"/>
    </row>
    <row r="351" spans="1:8" ht="13" x14ac:dyDescent="0.6">
      <c r="A351" s="29"/>
      <c r="B351" s="29"/>
      <c r="C351" s="28"/>
      <c r="D351" s="28"/>
      <c r="E351" s="27"/>
      <c r="H351" s="26"/>
    </row>
    <row r="352" spans="1:8" ht="13" x14ac:dyDescent="0.6">
      <c r="A352" s="29"/>
      <c r="B352" s="29"/>
      <c r="C352" s="28"/>
      <c r="D352" s="28"/>
      <c r="E352" s="27"/>
      <c r="H352" s="26"/>
    </row>
    <row r="353" spans="1:8" ht="13" x14ac:dyDescent="0.6">
      <c r="A353" s="29"/>
      <c r="B353" s="29"/>
      <c r="C353" s="28"/>
      <c r="D353" s="28"/>
      <c r="E353" s="27"/>
      <c r="H353" s="26"/>
    </row>
    <row r="354" spans="1:8" ht="13" x14ac:dyDescent="0.6">
      <c r="A354" s="29"/>
      <c r="B354" s="29"/>
      <c r="C354" s="28"/>
      <c r="D354" s="28"/>
      <c r="E354" s="27"/>
      <c r="H354" s="26"/>
    </row>
    <row r="355" spans="1:8" ht="13" x14ac:dyDescent="0.6">
      <c r="A355" s="29"/>
      <c r="B355" s="29"/>
      <c r="C355" s="28"/>
      <c r="D355" s="28"/>
      <c r="E355" s="27"/>
      <c r="H355" s="26"/>
    </row>
    <row r="356" spans="1:8" ht="13" x14ac:dyDescent="0.6">
      <c r="A356" s="29"/>
      <c r="B356" s="29"/>
      <c r="C356" s="28"/>
      <c r="D356" s="28"/>
      <c r="E356" s="27"/>
      <c r="H356" s="26"/>
    </row>
    <row r="357" spans="1:8" ht="13" x14ac:dyDescent="0.6">
      <c r="A357" s="29"/>
      <c r="B357" s="29"/>
      <c r="C357" s="28"/>
      <c r="D357" s="28"/>
      <c r="E357" s="27"/>
      <c r="H357" s="26"/>
    </row>
    <row r="358" spans="1:8" ht="13" x14ac:dyDescent="0.6">
      <c r="A358" s="29"/>
      <c r="B358" s="29"/>
      <c r="C358" s="28"/>
      <c r="D358" s="28"/>
      <c r="E358" s="27"/>
      <c r="H358" s="26"/>
    </row>
    <row r="359" spans="1:8" ht="13" x14ac:dyDescent="0.6">
      <c r="A359" s="29"/>
      <c r="B359" s="29"/>
      <c r="C359" s="28"/>
      <c r="D359" s="28"/>
      <c r="E359" s="27"/>
      <c r="H359" s="26"/>
    </row>
    <row r="360" spans="1:8" ht="13" x14ac:dyDescent="0.6">
      <c r="A360" s="29"/>
      <c r="B360" s="29"/>
      <c r="C360" s="28"/>
      <c r="D360" s="28"/>
      <c r="E360" s="27"/>
      <c r="H360" s="26"/>
    </row>
    <row r="361" spans="1:8" ht="13" x14ac:dyDescent="0.6">
      <c r="A361" s="29"/>
      <c r="B361" s="29"/>
      <c r="C361" s="28"/>
      <c r="D361" s="28"/>
      <c r="E361" s="27"/>
      <c r="H361" s="26"/>
    </row>
    <row r="362" spans="1:8" ht="13" x14ac:dyDescent="0.6">
      <c r="A362" s="29"/>
      <c r="B362" s="29"/>
      <c r="C362" s="28"/>
      <c r="D362" s="28"/>
      <c r="E362" s="27"/>
      <c r="H362" s="26"/>
    </row>
    <row r="363" spans="1:8" ht="13" x14ac:dyDescent="0.6">
      <c r="A363" s="29"/>
      <c r="B363" s="29"/>
      <c r="C363" s="28"/>
      <c r="D363" s="28"/>
      <c r="E363" s="27"/>
      <c r="H363" s="26"/>
    </row>
    <row r="364" spans="1:8" ht="13" x14ac:dyDescent="0.6">
      <c r="A364" s="29"/>
      <c r="B364" s="29"/>
      <c r="C364" s="28"/>
      <c r="D364" s="28"/>
      <c r="E364" s="27"/>
      <c r="H364" s="26"/>
    </row>
    <row r="365" spans="1:8" ht="13" x14ac:dyDescent="0.6">
      <c r="A365" s="29"/>
      <c r="B365" s="29"/>
      <c r="C365" s="28"/>
      <c r="D365" s="28"/>
      <c r="E365" s="27"/>
      <c r="H365" s="26"/>
    </row>
    <row r="366" spans="1:8" ht="13" x14ac:dyDescent="0.6">
      <c r="A366" s="29"/>
      <c r="B366" s="29"/>
      <c r="C366" s="28"/>
      <c r="D366" s="28"/>
      <c r="E366" s="27"/>
      <c r="H366" s="26"/>
    </row>
    <row r="367" spans="1:8" ht="13" x14ac:dyDescent="0.6">
      <c r="A367" s="29"/>
      <c r="B367" s="29"/>
      <c r="C367" s="28"/>
      <c r="D367" s="28"/>
      <c r="E367" s="27"/>
      <c r="H367" s="26"/>
    </row>
    <row r="368" spans="1:8" ht="13" x14ac:dyDescent="0.6">
      <c r="A368" s="29"/>
      <c r="B368" s="29"/>
      <c r="C368" s="28"/>
      <c r="D368" s="28"/>
      <c r="E368" s="27"/>
      <c r="H368" s="26"/>
    </row>
    <row r="369" spans="1:8" ht="13" x14ac:dyDescent="0.6">
      <c r="A369" s="29"/>
      <c r="B369" s="29"/>
      <c r="C369" s="28"/>
      <c r="D369" s="28"/>
      <c r="E369" s="27"/>
      <c r="H369" s="26"/>
    </row>
    <row r="370" spans="1:8" ht="13" x14ac:dyDescent="0.6">
      <c r="A370" s="29"/>
      <c r="B370" s="29"/>
      <c r="C370" s="28"/>
      <c r="D370" s="28"/>
      <c r="E370" s="27"/>
      <c r="H370" s="26"/>
    </row>
    <row r="371" spans="1:8" ht="13" x14ac:dyDescent="0.6">
      <c r="A371" s="29"/>
      <c r="B371" s="29"/>
      <c r="C371" s="28"/>
      <c r="D371" s="28"/>
      <c r="E371" s="27"/>
      <c r="H371" s="26"/>
    </row>
    <row r="372" spans="1:8" ht="13" x14ac:dyDescent="0.6">
      <c r="A372" s="29"/>
      <c r="B372" s="29"/>
      <c r="C372" s="28"/>
      <c r="D372" s="28"/>
      <c r="E372" s="27"/>
      <c r="H372" s="26"/>
    </row>
    <row r="373" spans="1:8" ht="13" x14ac:dyDescent="0.6">
      <c r="A373" s="29"/>
      <c r="B373" s="29"/>
      <c r="C373" s="28"/>
      <c r="D373" s="28"/>
      <c r="E373" s="27"/>
      <c r="H373" s="26"/>
    </row>
    <row r="374" spans="1:8" ht="13" x14ac:dyDescent="0.6">
      <c r="A374" s="29"/>
      <c r="B374" s="29"/>
      <c r="C374" s="28"/>
      <c r="D374" s="28"/>
      <c r="E374" s="27"/>
      <c r="H374" s="26"/>
    </row>
    <row r="375" spans="1:8" ht="13" x14ac:dyDescent="0.6">
      <c r="A375" s="29"/>
      <c r="B375" s="29"/>
      <c r="C375" s="28"/>
      <c r="D375" s="28"/>
      <c r="E375" s="27"/>
      <c r="H375" s="26"/>
    </row>
    <row r="376" spans="1:8" ht="13" x14ac:dyDescent="0.6">
      <c r="A376" s="29"/>
      <c r="B376" s="29"/>
      <c r="C376" s="28"/>
      <c r="D376" s="28"/>
      <c r="E376" s="27"/>
      <c r="H376" s="26"/>
    </row>
    <row r="377" spans="1:8" ht="13" x14ac:dyDescent="0.6">
      <c r="A377" s="29"/>
      <c r="B377" s="29"/>
      <c r="C377" s="28"/>
      <c r="D377" s="28"/>
      <c r="E377" s="27"/>
      <c r="H377" s="26"/>
    </row>
    <row r="378" spans="1:8" ht="13" x14ac:dyDescent="0.6">
      <c r="A378" s="29"/>
      <c r="B378" s="29"/>
      <c r="C378" s="28"/>
      <c r="D378" s="28"/>
      <c r="E378" s="27"/>
      <c r="H378" s="26"/>
    </row>
    <row r="379" spans="1:8" ht="13" x14ac:dyDescent="0.6">
      <c r="A379" s="29"/>
      <c r="B379" s="29"/>
      <c r="C379" s="28"/>
      <c r="D379" s="28"/>
      <c r="E379" s="27"/>
      <c r="H379" s="26"/>
    </row>
    <row r="380" spans="1:8" ht="13" x14ac:dyDescent="0.6">
      <c r="A380" s="29"/>
      <c r="B380" s="29"/>
      <c r="C380" s="28"/>
      <c r="D380" s="28"/>
      <c r="E380" s="27"/>
      <c r="H380" s="26"/>
    </row>
    <row r="381" spans="1:8" ht="13" x14ac:dyDescent="0.6">
      <c r="A381" s="29"/>
      <c r="B381" s="29"/>
      <c r="C381" s="28"/>
      <c r="D381" s="28"/>
      <c r="E381" s="27"/>
      <c r="H381" s="26"/>
    </row>
    <row r="382" spans="1:8" ht="13" x14ac:dyDescent="0.6">
      <c r="A382" s="29"/>
      <c r="B382" s="29"/>
      <c r="C382" s="28"/>
      <c r="D382" s="28"/>
      <c r="E382" s="27"/>
      <c r="H382" s="26"/>
    </row>
    <row r="383" spans="1:8" ht="13" x14ac:dyDescent="0.6">
      <c r="A383" s="29"/>
      <c r="B383" s="29"/>
      <c r="C383" s="28"/>
      <c r="D383" s="28"/>
      <c r="E383" s="27"/>
      <c r="H383" s="26"/>
    </row>
    <row r="384" spans="1:8" ht="13" x14ac:dyDescent="0.6">
      <c r="A384" s="29"/>
      <c r="B384" s="29"/>
      <c r="C384" s="28"/>
      <c r="D384" s="28"/>
      <c r="E384" s="27"/>
      <c r="H384" s="26"/>
    </row>
    <row r="385" spans="1:8" ht="13" x14ac:dyDescent="0.6">
      <c r="A385" s="29"/>
      <c r="B385" s="29"/>
      <c r="C385" s="28"/>
      <c r="D385" s="28"/>
      <c r="E385" s="27"/>
      <c r="H385" s="26"/>
    </row>
    <row r="386" spans="1:8" ht="13" x14ac:dyDescent="0.6">
      <c r="A386" s="29"/>
      <c r="B386" s="29"/>
      <c r="C386" s="28"/>
      <c r="D386" s="28"/>
      <c r="E386" s="27"/>
      <c r="H386" s="26"/>
    </row>
    <row r="387" spans="1:8" ht="13" x14ac:dyDescent="0.6">
      <c r="A387" s="29"/>
      <c r="B387" s="29"/>
      <c r="C387" s="28"/>
      <c r="D387" s="28"/>
      <c r="E387" s="27"/>
      <c r="H387" s="26"/>
    </row>
    <row r="388" spans="1:8" ht="13" x14ac:dyDescent="0.6">
      <c r="A388" s="29"/>
      <c r="B388" s="29"/>
      <c r="C388" s="28"/>
      <c r="D388" s="28"/>
      <c r="E388" s="27"/>
      <c r="H388" s="26"/>
    </row>
    <row r="389" spans="1:8" ht="13" x14ac:dyDescent="0.6">
      <c r="A389" s="29"/>
      <c r="B389" s="29"/>
      <c r="C389" s="28"/>
      <c r="D389" s="28"/>
      <c r="E389" s="27"/>
      <c r="H389" s="26"/>
    </row>
    <row r="390" spans="1:8" ht="13" x14ac:dyDescent="0.6">
      <c r="A390" s="29"/>
      <c r="B390" s="29"/>
      <c r="C390" s="28"/>
      <c r="D390" s="28"/>
      <c r="E390" s="27"/>
      <c r="H390" s="26"/>
    </row>
    <row r="391" spans="1:8" ht="13" x14ac:dyDescent="0.6">
      <c r="A391" s="29"/>
      <c r="B391" s="29"/>
      <c r="C391" s="28"/>
      <c r="D391" s="28"/>
      <c r="E391" s="27"/>
      <c r="H391" s="26"/>
    </row>
    <row r="392" spans="1:8" ht="13" x14ac:dyDescent="0.6">
      <c r="A392" s="29"/>
      <c r="B392" s="29"/>
      <c r="C392" s="28"/>
      <c r="D392" s="28"/>
      <c r="E392" s="27"/>
      <c r="H392" s="26"/>
    </row>
    <row r="393" spans="1:8" ht="13" x14ac:dyDescent="0.6">
      <c r="A393" s="29"/>
      <c r="B393" s="29"/>
      <c r="C393" s="28"/>
      <c r="D393" s="28"/>
      <c r="E393" s="27"/>
      <c r="H393" s="26"/>
    </row>
    <row r="394" spans="1:8" ht="13" x14ac:dyDescent="0.6">
      <c r="A394" s="29"/>
      <c r="B394" s="29"/>
      <c r="C394" s="28"/>
      <c r="D394" s="28"/>
      <c r="E394" s="27"/>
      <c r="H394" s="26"/>
    </row>
    <row r="395" spans="1:8" ht="13" x14ac:dyDescent="0.6">
      <c r="A395" s="29"/>
      <c r="B395" s="29"/>
      <c r="C395" s="28"/>
      <c r="D395" s="28"/>
      <c r="E395" s="27"/>
      <c r="H395" s="26"/>
    </row>
    <row r="396" spans="1:8" ht="13" x14ac:dyDescent="0.6">
      <c r="A396" s="29"/>
      <c r="B396" s="29"/>
      <c r="C396" s="28"/>
      <c r="D396" s="28"/>
      <c r="E396" s="27"/>
      <c r="H396" s="26"/>
    </row>
    <row r="397" spans="1:8" ht="13" x14ac:dyDescent="0.6">
      <c r="A397" s="29"/>
      <c r="B397" s="29"/>
      <c r="C397" s="28"/>
      <c r="D397" s="28"/>
      <c r="E397" s="27"/>
      <c r="H397" s="26"/>
    </row>
    <row r="398" spans="1:8" ht="13" x14ac:dyDescent="0.6">
      <c r="A398" s="29"/>
      <c r="B398" s="29"/>
      <c r="C398" s="28"/>
      <c r="D398" s="28"/>
      <c r="E398" s="27"/>
      <c r="H398" s="26"/>
    </row>
    <row r="399" spans="1:8" ht="13" x14ac:dyDescent="0.6">
      <c r="A399" s="29"/>
      <c r="B399" s="29"/>
      <c r="C399" s="28"/>
      <c r="D399" s="28"/>
      <c r="E399" s="27"/>
      <c r="H399" s="26"/>
    </row>
    <row r="400" spans="1:8" ht="13" x14ac:dyDescent="0.6">
      <c r="A400" s="29"/>
      <c r="B400" s="29"/>
      <c r="C400" s="28"/>
      <c r="D400" s="28"/>
      <c r="E400" s="27"/>
      <c r="H400" s="26"/>
    </row>
    <row r="401" spans="1:8" ht="13" x14ac:dyDescent="0.6">
      <c r="A401" s="29"/>
      <c r="B401" s="29"/>
      <c r="C401" s="28"/>
      <c r="D401" s="28"/>
      <c r="E401" s="27"/>
      <c r="H401" s="26"/>
    </row>
    <row r="402" spans="1:8" ht="13" x14ac:dyDescent="0.6">
      <c r="A402" s="29"/>
      <c r="B402" s="29"/>
      <c r="C402" s="28"/>
      <c r="D402" s="28"/>
      <c r="E402" s="27"/>
      <c r="H402" s="26"/>
    </row>
    <row r="403" spans="1:8" ht="13" x14ac:dyDescent="0.6">
      <c r="A403" s="29"/>
      <c r="B403" s="29"/>
      <c r="C403" s="28"/>
      <c r="D403" s="28"/>
      <c r="E403" s="27"/>
      <c r="H403" s="26"/>
    </row>
    <row r="404" spans="1:8" ht="13" x14ac:dyDescent="0.6">
      <c r="A404" s="29"/>
      <c r="B404" s="29"/>
      <c r="C404" s="28"/>
      <c r="D404" s="28"/>
      <c r="E404" s="27"/>
      <c r="H404" s="26"/>
    </row>
    <row r="405" spans="1:8" ht="13" x14ac:dyDescent="0.6">
      <c r="A405" s="29"/>
      <c r="B405" s="29"/>
      <c r="C405" s="28"/>
      <c r="D405" s="28"/>
      <c r="E405" s="27"/>
      <c r="H405" s="26"/>
    </row>
    <row r="406" spans="1:8" ht="13" x14ac:dyDescent="0.6">
      <c r="A406" s="29"/>
      <c r="B406" s="29"/>
      <c r="C406" s="28"/>
      <c r="D406" s="28"/>
      <c r="E406" s="27"/>
      <c r="H406" s="26"/>
    </row>
    <row r="407" spans="1:8" ht="13" x14ac:dyDescent="0.6">
      <c r="A407" s="29"/>
      <c r="B407" s="29"/>
      <c r="C407" s="28"/>
      <c r="D407" s="28"/>
      <c r="E407" s="27"/>
      <c r="H407" s="26"/>
    </row>
    <row r="408" spans="1:8" ht="13" x14ac:dyDescent="0.6">
      <c r="A408" s="29"/>
      <c r="B408" s="29"/>
      <c r="C408" s="28"/>
      <c r="D408" s="28"/>
      <c r="E408" s="27"/>
      <c r="H408" s="26"/>
    </row>
    <row r="409" spans="1:8" ht="13" x14ac:dyDescent="0.6">
      <c r="A409" s="29"/>
      <c r="B409" s="29"/>
      <c r="C409" s="28"/>
      <c r="D409" s="28"/>
      <c r="E409" s="27"/>
      <c r="H409" s="26"/>
    </row>
    <row r="410" spans="1:8" ht="13" x14ac:dyDescent="0.6">
      <c r="A410" s="29"/>
      <c r="B410" s="29"/>
      <c r="C410" s="28"/>
      <c r="D410" s="28"/>
      <c r="E410" s="27"/>
      <c r="H410" s="26"/>
    </row>
    <row r="411" spans="1:8" ht="13" x14ac:dyDescent="0.6">
      <c r="A411" s="29"/>
      <c r="B411" s="29"/>
      <c r="C411" s="28"/>
      <c r="D411" s="28"/>
      <c r="E411" s="27"/>
      <c r="H411" s="26"/>
    </row>
    <row r="412" spans="1:8" ht="13" x14ac:dyDescent="0.6">
      <c r="A412" s="29"/>
      <c r="B412" s="29"/>
      <c r="C412" s="28"/>
      <c r="D412" s="28"/>
      <c r="E412" s="27"/>
      <c r="H412" s="26"/>
    </row>
    <row r="413" spans="1:8" ht="13" x14ac:dyDescent="0.6">
      <c r="A413" s="29"/>
      <c r="B413" s="29"/>
      <c r="C413" s="28"/>
      <c r="D413" s="28"/>
      <c r="E413" s="27"/>
      <c r="H413" s="26"/>
    </row>
    <row r="414" spans="1:8" ht="13" x14ac:dyDescent="0.6">
      <c r="A414" s="29"/>
      <c r="B414" s="29"/>
      <c r="C414" s="28"/>
      <c r="D414" s="28"/>
      <c r="E414" s="27"/>
      <c r="H414" s="26"/>
    </row>
    <row r="415" spans="1:8" ht="13" x14ac:dyDescent="0.6">
      <c r="A415" s="29"/>
      <c r="B415" s="29"/>
      <c r="C415" s="28"/>
      <c r="D415" s="28"/>
      <c r="E415" s="27"/>
      <c r="H415" s="26"/>
    </row>
    <row r="416" spans="1:8" ht="13" x14ac:dyDescent="0.6">
      <c r="A416" s="29"/>
      <c r="B416" s="29"/>
      <c r="C416" s="28"/>
      <c r="D416" s="28"/>
      <c r="E416" s="27"/>
      <c r="H416" s="26"/>
    </row>
    <row r="417" spans="1:8" ht="13" x14ac:dyDescent="0.6">
      <c r="A417" s="29"/>
      <c r="B417" s="29"/>
      <c r="C417" s="28"/>
      <c r="D417" s="28"/>
      <c r="E417" s="27"/>
      <c r="H417" s="26"/>
    </row>
    <row r="418" spans="1:8" ht="13" x14ac:dyDescent="0.6">
      <c r="A418" s="29"/>
      <c r="B418" s="29"/>
      <c r="C418" s="28"/>
      <c r="D418" s="28"/>
      <c r="E418" s="27"/>
      <c r="H418" s="26"/>
    </row>
    <row r="419" spans="1:8" ht="13" x14ac:dyDescent="0.6">
      <c r="A419" s="29"/>
      <c r="B419" s="29"/>
      <c r="C419" s="28"/>
      <c r="D419" s="28"/>
      <c r="E419" s="27"/>
      <c r="H419" s="26"/>
    </row>
    <row r="420" spans="1:8" ht="13" x14ac:dyDescent="0.6">
      <c r="A420" s="29"/>
      <c r="B420" s="29"/>
      <c r="C420" s="28"/>
      <c r="D420" s="28"/>
      <c r="E420" s="27"/>
      <c r="H420" s="26"/>
    </row>
    <row r="421" spans="1:8" ht="13" x14ac:dyDescent="0.6">
      <c r="A421" s="29"/>
      <c r="B421" s="29"/>
      <c r="C421" s="28"/>
      <c r="D421" s="28"/>
      <c r="E421" s="27"/>
      <c r="H421" s="26"/>
    </row>
    <row r="422" spans="1:8" ht="13" x14ac:dyDescent="0.6">
      <c r="A422" s="29"/>
      <c r="B422" s="29"/>
      <c r="C422" s="28"/>
      <c r="D422" s="28"/>
      <c r="E422" s="27"/>
      <c r="H422" s="26"/>
    </row>
    <row r="423" spans="1:8" ht="13" x14ac:dyDescent="0.6">
      <c r="A423" s="29"/>
      <c r="B423" s="29"/>
      <c r="C423" s="28"/>
      <c r="D423" s="28"/>
      <c r="E423" s="27"/>
      <c r="H423" s="26"/>
    </row>
    <row r="424" spans="1:8" ht="13" x14ac:dyDescent="0.6">
      <c r="A424" s="29"/>
      <c r="B424" s="29"/>
      <c r="C424" s="28"/>
      <c r="D424" s="28"/>
      <c r="E424" s="27"/>
      <c r="H424" s="26"/>
    </row>
    <row r="425" spans="1:8" ht="13" x14ac:dyDescent="0.6">
      <c r="A425" s="29"/>
      <c r="B425" s="29"/>
      <c r="C425" s="28"/>
      <c r="D425" s="28"/>
      <c r="E425" s="27"/>
      <c r="H425" s="26"/>
    </row>
    <row r="426" spans="1:8" ht="13" x14ac:dyDescent="0.6">
      <c r="A426" s="29"/>
      <c r="B426" s="29"/>
      <c r="C426" s="28"/>
      <c r="D426" s="28"/>
      <c r="E426" s="27"/>
      <c r="H426" s="26"/>
    </row>
    <row r="427" spans="1:8" ht="13" x14ac:dyDescent="0.6">
      <c r="A427" s="29"/>
      <c r="B427" s="29"/>
      <c r="C427" s="28"/>
      <c r="D427" s="28"/>
      <c r="E427" s="27"/>
      <c r="H427" s="26"/>
    </row>
    <row r="428" spans="1:8" ht="13" x14ac:dyDescent="0.6">
      <c r="A428" s="29"/>
      <c r="B428" s="29"/>
      <c r="C428" s="28"/>
      <c r="D428" s="28"/>
      <c r="E428" s="27"/>
      <c r="H428" s="26"/>
    </row>
    <row r="429" spans="1:8" ht="13" x14ac:dyDescent="0.6">
      <c r="A429" s="29"/>
      <c r="B429" s="29"/>
      <c r="C429" s="28"/>
      <c r="D429" s="28"/>
      <c r="E429" s="27"/>
      <c r="H429" s="26"/>
    </row>
    <row r="430" spans="1:8" ht="13" x14ac:dyDescent="0.6">
      <c r="A430" s="29"/>
      <c r="B430" s="29"/>
      <c r="C430" s="28"/>
      <c r="D430" s="28"/>
      <c r="E430" s="27"/>
      <c r="H430" s="26"/>
    </row>
    <row r="431" spans="1:8" ht="13" x14ac:dyDescent="0.6">
      <c r="A431" s="29"/>
      <c r="B431" s="29"/>
      <c r="C431" s="28"/>
      <c r="D431" s="28"/>
      <c r="E431" s="27"/>
      <c r="H431" s="26"/>
    </row>
    <row r="432" spans="1:8" ht="13" x14ac:dyDescent="0.6">
      <c r="A432" s="29"/>
      <c r="B432" s="29"/>
      <c r="C432" s="28"/>
      <c r="D432" s="28"/>
      <c r="E432" s="27"/>
      <c r="H432" s="26"/>
    </row>
    <row r="433" spans="1:8" ht="13" x14ac:dyDescent="0.6">
      <c r="A433" s="29"/>
      <c r="B433" s="29"/>
      <c r="C433" s="28"/>
      <c r="D433" s="28"/>
      <c r="E433" s="27"/>
      <c r="H433" s="26"/>
    </row>
    <row r="434" spans="1:8" ht="13" x14ac:dyDescent="0.6">
      <c r="A434" s="29"/>
      <c r="B434" s="29"/>
      <c r="C434" s="28"/>
      <c r="D434" s="28"/>
      <c r="E434" s="27"/>
      <c r="H434" s="26"/>
    </row>
    <row r="435" spans="1:8" ht="13" x14ac:dyDescent="0.6">
      <c r="A435" s="29"/>
      <c r="B435" s="29"/>
      <c r="C435" s="28"/>
      <c r="D435" s="28"/>
      <c r="E435" s="27"/>
      <c r="H435" s="26"/>
    </row>
    <row r="436" spans="1:8" ht="13" x14ac:dyDescent="0.6">
      <c r="A436" s="29"/>
      <c r="B436" s="29"/>
      <c r="C436" s="28"/>
      <c r="D436" s="28"/>
      <c r="E436" s="27"/>
      <c r="H436" s="26"/>
    </row>
    <row r="437" spans="1:8" ht="13" x14ac:dyDescent="0.6">
      <c r="A437" s="29"/>
      <c r="B437" s="29"/>
      <c r="C437" s="28"/>
      <c r="D437" s="28"/>
      <c r="E437" s="27"/>
      <c r="H437" s="26"/>
    </row>
    <row r="438" spans="1:8" ht="13" x14ac:dyDescent="0.6">
      <c r="A438" s="29"/>
      <c r="B438" s="29"/>
      <c r="C438" s="28"/>
      <c r="D438" s="28"/>
      <c r="E438" s="27"/>
      <c r="H438" s="26"/>
    </row>
    <row r="439" spans="1:8" ht="13" x14ac:dyDescent="0.6">
      <c r="A439" s="29"/>
      <c r="B439" s="29"/>
      <c r="C439" s="28"/>
      <c r="D439" s="28"/>
      <c r="E439" s="27"/>
      <c r="H439" s="26"/>
    </row>
    <row r="440" spans="1:8" ht="13" x14ac:dyDescent="0.6">
      <c r="A440" s="29"/>
      <c r="B440" s="29"/>
      <c r="C440" s="28"/>
      <c r="D440" s="28"/>
      <c r="E440" s="27"/>
      <c r="H440" s="26"/>
    </row>
    <row r="441" spans="1:8" ht="13" x14ac:dyDescent="0.6">
      <c r="A441" s="29"/>
      <c r="B441" s="29"/>
      <c r="C441" s="28"/>
      <c r="D441" s="28"/>
      <c r="E441" s="27"/>
      <c r="H441" s="26"/>
    </row>
    <row r="442" spans="1:8" ht="13" x14ac:dyDescent="0.6">
      <c r="A442" s="29"/>
      <c r="B442" s="29"/>
      <c r="C442" s="28"/>
      <c r="D442" s="28"/>
      <c r="E442" s="27"/>
      <c r="H442" s="26"/>
    </row>
    <row r="443" spans="1:8" ht="13" x14ac:dyDescent="0.6">
      <c r="A443" s="29"/>
      <c r="B443" s="29"/>
      <c r="C443" s="28"/>
      <c r="D443" s="28"/>
      <c r="E443" s="27"/>
      <c r="H443" s="26"/>
    </row>
    <row r="444" spans="1:8" ht="13" x14ac:dyDescent="0.6">
      <c r="A444" s="29"/>
      <c r="B444" s="29"/>
      <c r="C444" s="28"/>
      <c r="D444" s="28"/>
      <c r="E444" s="27"/>
      <c r="H444" s="26"/>
    </row>
    <row r="445" spans="1:8" ht="13" x14ac:dyDescent="0.6">
      <c r="A445" s="29"/>
      <c r="B445" s="29"/>
      <c r="C445" s="28"/>
      <c r="D445" s="28"/>
      <c r="E445" s="27"/>
      <c r="H445" s="26"/>
    </row>
    <row r="446" spans="1:8" ht="13" x14ac:dyDescent="0.6">
      <c r="A446" s="29"/>
      <c r="B446" s="29"/>
      <c r="C446" s="28"/>
      <c r="D446" s="28"/>
      <c r="E446" s="27"/>
      <c r="H446" s="26"/>
    </row>
    <row r="447" spans="1:8" ht="13" x14ac:dyDescent="0.6">
      <c r="A447" s="29"/>
      <c r="B447" s="29"/>
      <c r="C447" s="28"/>
      <c r="D447" s="28"/>
      <c r="E447" s="27"/>
      <c r="H447" s="26"/>
    </row>
    <row r="448" spans="1:8" ht="13" x14ac:dyDescent="0.6">
      <c r="A448" s="29"/>
      <c r="B448" s="29"/>
      <c r="C448" s="28"/>
      <c r="D448" s="28"/>
      <c r="E448" s="27"/>
      <c r="H448" s="26"/>
    </row>
    <row r="449" spans="1:8" ht="13" x14ac:dyDescent="0.6">
      <c r="A449" s="29"/>
      <c r="B449" s="29"/>
      <c r="C449" s="28"/>
      <c r="D449" s="28"/>
      <c r="E449" s="27"/>
      <c r="H449" s="26"/>
    </row>
    <row r="450" spans="1:8" ht="13" x14ac:dyDescent="0.6">
      <c r="A450" s="29"/>
      <c r="B450" s="29"/>
      <c r="C450" s="28"/>
      <c r="D450" s="28"/>
      <c r="E450" s="27"/>
      <c r="H450" s="26"/>
    </row>
    <row r="451" spans="1:8" ht="13" x14ac:dyDescent="0.6">
      <c r="A451" s="29"/>
      <c r="B451" s="29"/>
      <c r="C451" s="28"/>
      <c r="D451" s="28"/>
      <c r="E451" s="27"/>
      <c r="H451" s="26"/>
    </row>
    <row r="452" spans="1:8" ht="13" x14ac:dyDescent="0.6">
      <c r="A452" s="29"/>
      <c r="B452" s="29"/>
      <c r="C452" s="28"/>
      <c r="D452" s="28"/>
      <c r="E452" s="27"/>
      <c r="H452" s="26"/>
    </row>
    <row r="453" spans="1:8" ht="13" x14ac:dyDescent="0.6">
      <c r="A453" s="29"/>
      <c r="B453" s="29"/>
      <c r="C453" s="28"/>
      <c r="D453" s="28"/>
      <c r="E453" s="27"/>
      <c r="H453" s="26"/>
    </row>
    <row r="454" spans="1:8" ht="13" x14ac:dyDescent="0.6">
      <c r="A454" s="29"/>
      <c r="B454" s="29"/>
      <c r="C454" s="28"/>
      <c r="D454" s="28"/>
      <c r="E454" s="27"/>
      <c r="H454" s="26"/>
    </row>
    <row r="455" spans="1:8" ht="13" x14ac:dyDescent="0.6">
      <c r="A455" s="29"/>
      <c r="B455" s="29"/>
      <c r="C455" s="28"/>
      <c r="D455" s="28"/>
      <c r="E455" s="27"/>
      <c r="H455" s="26"/>
    </row>
    <row r="456" spans="1:8" ht="13" x14ac:dyDescent="0.6">
      <c r="A456" s="29"/>
      <c r="B456" s="29"/>
      <c r="C456" s="28"/>
      <c r="D456" s="28"/>
      <c r="E456" s="27"/>
      <c r="H456" s="26"/>
    </row>
    <row r="457" spans="1:8" ht="13" x14ac:dyDescent="0.6">
      <c r="A457" s="29"/>
      <c r="B457" s="29"/>
      <c r="C457" s="28"/>
      <c r="D457" s="28"/>
      <c r="E457" s="27"/>
      <c r="H457" s="26"/>
    </row>
    <row r="458" spans="1:8" ht="13" x14ac:dyDescent="0.6">
      <c r="A458" s="29"/>
      <c r="B458" s="29"/>
      <c r="C458" s="28"/>
      <c r="D458" s="28"/>
      <c r="E458" s="27"/>
      <c r="H458" s="26"/>
    </row>
    <row r="459" spans="1:8" ht="13" x14ac:dyDescent="0.6">
      <c r="A459" s="29"/>
      <c r="B459" s="29"/>
      <c r="C459" s="28"/>
      <c r="D459" s="28"/>
      <c r="E459" s="27"/>
      <c r="H459" s="26"/>
    </row>
    <row r="460" spans="1:8" ht="13" x14ac:dyDescent="0.6">
      <c r="A460" s="29"/>
      <c r="B460" s="29"/>
      <c r="C460" s="28"/>
      <c r="D460" s="28"/>
      <c r="E460" s="27"/>
      <c r="H460" s="26"/>
    </row>
    <row r="461" spans="1:8" ht="13" x14ac:dyDescent="0.6">
      <c r="A461" s="29"/>
      <c r="B461" s="29"/>
      <c r="C461" s="28"/>
      <c r="D461" s="28"/>
      <c r="E461" s="27"/>
      <c r="H461" s="26"/>
    </row>
    <row r="462" spans="1:8" ht="13" x14ac:dyDescent="0.6">
      <c r="A462" s="29"/>
      <c r="B462" s="29"/>
      <c r="C462" s="28"/>
      <c r="D462" s="28"/>
      <c r="E462" s="27"/>
      <c r="H462" s="26"/>
    </row>
    <row r="463" spans="1:8" ht="13" x14ac:dyDescent="0.6">
      <c r="A463" s="29"/>
      <c r="B463" s="29"/>
      <c r="C463" s="28"/>
      <c r="D463" s="28"/>
      <c r="E463" s="27"/>
      <c r="H463" s="26"/>
    </row>
    <row r="464" spans="1:8" ht="13" x14ac:dyDescent="0.6">
      <c r="A464" s="29"/>
      <c r="B464" s="29"/>
      <c r="C464" s="28"/>
      <c r="D464" s="28"/>
      <c r="E464" s="27"/>
      <c r="H464" s="26"/>
    </row>
    <row r="465" spans="1:8" ht="13" x14ac:dyDescent="0.6">
      <c r="A465" s="29"/>
      <c r="B465" s="29"/>
      <c r="C465" s="28"/>
      <c r="D465" s="28"/>
      <c r="E465" s="27"/>
      <c r="H465" s="26"/>
    </row>
    <row r="466" spans="1:8" ht="13" x14ac:dyDescent="0.6">
      <c r="A466" s="29"/>
      <c r="B466" s="29"/>
      <c r="C466" s="28"/>
      <c r="D466" s="28"/>
      <c r="E466" s="27"/>
      <c r="H466" s="26"/>
    </row>
    <row r="467" spans="1:8" ht="13" x14ac:dyDescent="0.6">
      <c r="A467" s="29"/>
      <c r="B467" s="29"/>
      <c r="C467" s="28"/>
      <c r="D467" s="28"/>
      <c r="E467" s="27"/>
      <c r="H467" s="26"/>
    </row>
    <row r="468" spans="1:8" ht="13" x14ac:dyDescent="0.6">
      <c r="A468" s="29"/>
      <c r="B468" s="29"/>
      <c r="C468" s="28"/>
      <c r="D468" s="28"/>
      <c r="E468" s="27"/>
      <c r="H468" s="26"/>
    </row>
    <row r="469" spans="1:8" ht="13" x14ac:dyDescent="0.6">
      <c r="A469" s="29"/>
      <c r="B469" s="29"/>
      <c r="C469" s="28"/>
      <c r="D469" s="28"/>
      <c r="E469" s="27"/>
      <c r="H469" s="26"/>
    </row>
    <row r="470" spans="1:8" ht="13" x14ac:dyDescent="0.6">
      <c r="A470" s="29"/>
      <c r="B470" s="29"/>
      <c r="C470" s="28"/>
      <c r="D470" s="28"/>
      <c r="E470" s="27"/>
      <c r="H470" s="26"/>
    </row>
    <row r="471" spans="1:8" ht="13" x14ac:dyDescent="0.6">
      <c r="A471" s="29"/>
      <c r="B471" s="29"/>
      <c r="C471" s="28"/>
      <c r="D471" s="28"/>
      <c r="E471" s="27"/>
      <c r="H471" s="26"/>
    </row>
    <row r="472" spans="1:8" ht="13" x14ac:dyDescent="0.6">
      <c r="A472" s="29"/>
      <c r="B472" s="29"/>
      <c r="C472" s="28"/>
      <c r="D472" s="28"/>
      <c r="E472" s="27"/>
      <c r="H472" s="26"/>
    </row>
    <row r="473" spans="1:8" ht="13" x14ac:dyDescent="0.6">
      <c r="A473" s="29"/>
      <c r="B473" s="29"/>
      <c r="C473" s="28"/>
      <c r="D473" s="28"/>
      <c r="E473" s="27"/>
      <c r="H473" s="26"/>
    </row>
    <row r="474" spans="1:8" ht="13" x14ac:dyDescent="0.6">
      <c r="A474" s="29"/>
      <c r="B474" s="29"/>
      <c r="C474" s="28"/>
      <c r="D474" s="28"/>
      <c r="E474" s="27"/>
      <c r="H474" s="26"/>
    </row>
    <row r="475" spans="1:8" ht="13" x14ac:dyDescent="0.6">
      <c r="A475" s="29"/>
      <c r="B475" s="29"/>
      <c r="C475" s="28"/>
      <c r="D475" s="28"/>
      <c r="E475" s="27"/>
      <c r="H475" s="26"/>
    </row>
    <row r="476" spans="1:8" ht="13" x14ac:dyDescent="0.6">
      <c r="A476" s="29"/>
      <c r="B476" s="29"/>
      <c r="C476" s="28"/>
      <c r="D476" s="28"/>
      <c r="E476" s="27"/>
      <c r="H476" s="26"/>
    </row>
    <row r="477" spans="1:8" ht="13" x14ac:dyDescent="0.6">
      <c r="A477" s="29"/>
      <c r="B477" s="29"/>
      <c r="C477" s="28"/>
      <c r="D477" s="28"/>
      <c r="E477" s="27"/>
      <c r="H477" s="26"/>
    </row>
    <row r="478" spans="1:8" ht="13" x14ac:dyDescent="0.6">
      <c r="A478" s="29"/>
      <c r="B478" s="29"/>
      <c r="C478" s="28"/>
      <c r="D478" s="28"/>
      <c r="E478" s="27"/>
      <c r="H478" s="26"/>
    </row>
    <row r="479" spans="1:8" ht="13" x14ac:dyDescent="0.6">
      <c r="A479" s="29"/>
      <c r="B479" s="29"/>
      <c r="C479" s="28"/>
      <c r="D479" s="28"/>
      <c r="E479" s="27"/>
      <c r="H479" s="26"/>
    </row>
    <row r="480" spans="1:8" ht="13" x14ac:dyDescent="0.6">
      <c r="A480" s="29"/>
      <c r="B480" s="29"/>
      <c r="C480" s="28"/>
      <c r="D480" s="28"/>
      <c r="E480" s="27"/>
      <c r="H480" s="26"/>
    </row>
    <row r="481" spans="1:8" ht="13" x14ac:dyDescent="0.6">
      <c r="A481" s="29"/>
      <c r="B481" s="29"/>
      <c r="C481" s="28"/>
      <c r="D481" s="28"/>
      <c r="E481" s="27"/>
      <c r="H481" s="26"/>
    </row>
    <row r="482" spans="1:8" ht="13" x14ac:dyDescent="0.6">
      <c r="A482" s="29"/>
      <c r="B482" s="29"/>
      <c r="C482" s="28"/>
      <c r="D482" s="28"/>
      <c r="E482" s="27"/>
      <c r="H482" s="26"/>
    </row>
    <row r="483" spans="1:8" ht="13" x14ac:dyDescent="0.6">
      <c r="A483" s="29"/>
      <c r="B483" s="29"/>
      <c r="C483" s="28"/>
      <c r="D483" s="28"/>
      <c r="E483" s="27"/>
      <c r="H483" s="26"/>
    </row>
    <row r="484" spans="1:8" ht="13" x14ac:dyDescent="0.6">
      <c r="A484" s="29"/>
      <c r="B484" s="29"/>
      <c r="C484" s="28"/>
      <c r="D484" s="28"/>
      <c r="E484" s="27"/>
      <c r="H484" s="26"/>
    </row>
    <row r="485" spans="1:8" ht="13" x14ac:dyDescent="0.6">
      <c r="A485" s="29"/>
      <c r="B485" s="29"/>
      <c r="C485" s="28"/>
      <c r="D485" s="28"/>
      <c r="E485" s="27"/>
      <c r="H485" s="26"/>
    </row>
    <row r="486" spans="1:8" ht="13" x14ac:dyDescent="0.6">
      <c r="A486" s="29"/>
      <c r="B486" s="29"/>
      <c r="C486" s="28"/>
      <c r="D486" s="28"/>
      <c r="E486" s="27"/>
      <c r="H486" s="26"/>
    </row>
    <row r="487" spans="1:8" ht="13" x14ac:dyDescent="0.6">
      <c r="A487" s="29"/>
      <c r="B487" s="29"/>
      <c r="C487" s="28"/>
      <c r="D487" s="28"/>
      <c r="E487" s="27"/>
      <c r="H487" s="26"/>
    </row>
    <row r="488" spans="1:8" ht="13" x14ac:dyDescent="0.6">
      <c r="A488" s="29"/>
      <c r="B488" s="29"/>
      <c r="C488" s="28"/>
      <c r="D488" s="28"/>
      <c r="E488" s="27"/>
      <c r="H488" s="26"/>
    </row>
    <row r="489" spans="1:8" ht="13" x14ac:dyDescent="0.6">
      <c r="A489" s="29"/>
      <c r="B489" s="29"/>
      <c r="C489" s="28"/>
      <c r="D489" s="28"/>
      <c r="E489" s="27"/>
      <c r="H489" s="26"/>
    </row>
    <row r="490" spans="1:8" ht="13" x14ac:dyDescent="0.6">
      <c r="A490" s="29"/>
      <c r="B490" s="29"/>
      <c r="C490" s="28"/>
      <c r="D490" s="28"/>
      <c r="E490" s="27"/>
      <c r="H490" s="26"/>
    </row>
    <row r="491" spans="1:8" ht="13" x14ac:dyDescent="0.6">
      <c r="A491" s="29"/>
      <c r="B491" s="29"/>
      <c r="C491" s="28"/>
      <c r="D491" s="28"/>
      <c r="E491" s="27"/>
      <c r="H491" s="26"/>
    </row>
    <row r="492" spans="1:8" ht="13" x14ac:dyDescent="0.6">
      <c r="A492" s="29"/>
      <c r="B492" s="29"/>
      <c r="C492" s="28"/>
      <c r="D492" s="28"/>
      <c r="E492" s="27"/>
      <c r="H492" s="26"/>
    </row>
    <row r="493" spans="1:8" ht="13" x14ac:dyDescent="0.6">
      <c r="A493" s="29"/>
      <c r="B493" s="29"/>
      <c r="C493" s="28"/>
      <c r="D493" s="28"/>
      <c r="E493" s="27"/>
      <c r="H493" s="26"/>
    </row>
    <row r="494" spans="1:8" ht="13" x14ac:dyDescent="0.6">
      <c r="A494" s="29"/>
      <c r="B494" s="29"/>
      <c r="C494" s="28"/>
      <c r="D494" s="28"/>
      <c r="E494" s="27"/>
      <c r="H494" s="26"/>
    </row>
    <row r="495" spans="1:8" ht="13" x14ac:dyDescent="0.6">
      <c r="A495" s="29"/>
      <c r="B495" s="29"/>
      <c r="C495" s="28"/>
      <c r="D495" s="28"/>
      <c r="E495" s="27"/>
      <c r="H495" s="26"/>
    </row>
    <row r="496" spans="1:8" ht="13" x14ac:dyDescent="0.6">
      <c r="A496" s="29"/>
      <c r="B496" s="29"/>
      <c r="C496" s="28"/>
      <c r="D496" s="28"/>
      <c r="E496" s="27"/>
      <c r="H496" s="26"/>
    </row>
    <row r="497" spans="1:8" ht="13" x14ac:dyDescent="0.6">
      <c r="A497" s="29"/>
      <c r="B497" s="29"/>
      <c r="C497" s="28"/>
      <c r="D497" s="28"/>
      <c r="E497" s="27"/>
      <c r="H497" s="26"/>
    </row>
    <row r="498" spans="1:8" ht="13" x14ac:dyDescent="0.6">
      <c r="A498" s="29"/>
      <c r="B498" s="29"/>
      <c r="C498" s="28"/>
      <c r="D498" s="28"/>
      <c r="E498" s="27"/>
      <c r="H498" s="26"/>
    </row>
    <row r="499" spans="1:8" ht="13" x14ac:dyDescent="0.6">
      <c r="A499" s="29"/>
      <c r="B499" s="29"/>
      <c r="C499" s="28"/>
      <c r="D499" s="28"/>
      <c r="E499" s="27"/>
      <c r="H499" s="26"/>
    </row>
    <row r="500" spans="1:8" ht="13" x14ac:dyDescent="0.6">
      <c r="A500" s="29"/>
      <c r="B500" s="29"/>
      <c r="C500" s="28"/>
      <c r="D500" s="28"/>
      <c r="E500" s="27"/>
      <c r="H500" s="26"/>
    </row>
    <row r="501" spans="1:8" ht="13" x14ac:dyDescent="0.6">
      <c r="A501" s="29"/>
      <c r="B501" s="29"/>
      <c r="C501" s="28"/>
      <c r="D501" s="28"/>
      <c r="E501" s="27"/>
      <c r="H501" s="26"/>
    </row>
    <row r="502" spans="1:8" ht="13" x14ac:dyDescent="0.6">
      <c r="A502" s="29"/>
      <c r="B502" s="29"/>
      <c r="C502" s="28"/>
      <c r="D502" s="28"/>
      <c r="E502" s="27"/>
      <c r="H502" s="26"/>
    </row>
    <row r="503" spans="1:8" ht="13" x14ac:dyDescent="0.6">
      <c r="A503" s="29"/>
      <c r="B503" s="29"/>
      <c r="C503" s="28"/>
      <c r="D503" s="28"/>
      <c r="E503" s="27"/>
      <c r="H503" s="26"/>
    </row>
    <row r="504" spans="1:8" ht="13" x14ac:dyDescent="0.6">
      <c r="A504" s="29"/>
      <c r="B504" s="29"/>
      <c r="C504" s="28"/>
      <c r="D504" s="28"/>
      <c r="E504" s="27"/>
      <c r="H504" s="26"/>
    </row>
    <row r="505" spans="1:8" ht="13" x14ac:dyDescent="0.6">
      <c r="A505" s="29"/>
      <c r="B505" s="29"/>
      <c r="C505" s="28"/>
      <c r="D505" s="28"/>
      <c r="E505" s="27"/>
      <c r="H505" s="26"/>
    </row>
    <row r="506" spans="1:8" ht="13" x14ac:dyDescent="0.6">
      <c r="A506" s="29"/>
      <c r="B506" s="29"/>
      <c r="C506" s="28"/>
      <c r="D506" s="28"/>
      <c r="E506" s="27"/>
      <c r="H506" s="26"/>
    </row>
    <row r="507" spans="1:8" ht="13" x14ac:dyDescent="0.6">
      <c r="A507" s="29"/>
      <c r="B507" s="29"/>
      <c r="C507" s="28"/>
      <c r="D507" s="28"/>
      <c r="E507" s="27"/>
      <c r="H507" s="26"/>
    </row>
    <row r="508" spans="1:8" ht="13" x14ac:dyDescent="0.6">
      <c r="A508" s="29"/>
      <c r="B508" s="29"/>
      <c r="C508" s="28"/>
      <c r="D508" s="28"/>
      <c r="E508" s="27"/>
      <c r="H508" s="26"/>
    </row>
    <row r="509" spans="1:8" ht="13" x14ac:dyDescent="0.6">
      <c r="A509" s="29"/>
      <c r="B509" s="29"/>
      <c r="C509" s="28"/>
      <c r="D509" s="28"/>
      <c r="E509" s="27"/>
      <c r="H509" s="26"/>
    </row>
    <row r="510" spans="1:8" ht="13" x14ac:dyDescent="0.6">
      <c r="A510" s="29"/>
      <c r="B510" s="29"/>
      <c r="C510" s="28"/>
      <c r="D510" s="28"/>
      <c r="E510" s="27"/>
      <c r="H510" s="26"/>
    </row>
    <row r="511" spans="1:8" ht="13" x14ac:dyDescent="0.6">
      <c r="A511" s="29"/>
      <c r="B511" s="29"/>
      <c r="C511" s="28"/>
      <c r="D511" s="28"/>
      <c r="E511" s="27"/>
      <c r="H511" s="26"/>
    </row>
    <row r="512" spans="1:8" ht="13" x14ac:dyDescent="0.6">
      <c r="A512" s="29"/>
      <c r="B512" s="29"/>
      <c r="C512" s="28"/>
      <c r="D512" s="28"/>
      <c r="E512" s="27"/>
      <c r="H512" s="26"/>
    </row>
    <row r="513" spans="1:8" ht="13" x14ac:dyDescent="0.6">
      <c r="A513" s="29"/>
      <c r="B513" s="29"/>
      <c r="C513" s="28"/>
      <c r="D513" s="28"/>
      <c r="E513" s="27"/>
      <c r="H513" s="26"/>
    </row>
    <row r="514" spans="1:8" ht="13" x14ac:dyDescent="0.6">
      <c r="A514" s="29"/>
      <c r="B514" s="29"/>
      <c r="C514" s="28"/>
      <c r="D514" s="28"/>
      <c r="E514" s="27"/>
      <c r="H514" s="26"/>
    </row>
    <row r="515" spans="1:8" ht="13" x14ac:dyDescent="0.6">
      <c r="A515" s="29"/>
      <c r="B515" s="29"/>
      <c r="C515" s="28"/>
      <c r="D515" s="28"/>
      <c r="E515" s="27"/>
      <c r="H515" s="26"/>
    </row>
    <row r="516" spans="1:8" ht="13" x14ac:dyDescent="0.6">
      <c r="A516" s="29"/>
      <c r="B516" s="29"/>
      <c r="C516" s="28"/>
      <c r="D516" s="28"/>
      <c r="E516" s="27"/>
      <c r="H516" s="26"/>
    </row>
    <row r="517" spans="1:8" ht="13" x14ac:dyDescent="0.6">
      <c r="A517" s="29"/>
      <c r="B517" s="29"/>
      <c r="C517" s="28"/>
      <c r="D517" s="28"/>
      <c r="E517" s="27"/>
      <c r="H517" s="26"/>
    </row>
    <row r="518" spans="1:8" ht="13" x14ac:dyDescent="0.6">
      <c r="A518" s="29"/>
      <c r="B518" s="29"/>
      <c r="C518" s="28"/>
      <c r="D518" s="28"/>
      <c r="E518" s="27"/>
      <c r="H518" s="26"/>
    </row>
    <row r="519" spans="1:8" ht="13" x14ac:dyDescent="0.6">
      <c r="A519" s="29"/>
      <c r="B519" s="29"/>
      <c r="C519" s="28"/>
      <c r="D519" s="28"/>
      <c r="E519" s="27"/>
      <c r="H519" s="26"/>
    </row>
    <row r="520" spans="1:8" ht="13" x14ac:dyDescent="0.6">
      <c r="A520" s="29"/>
      <c r="B520" s="29"/>
      <c r="C520" s="28"/>
      <c r="D520" s="28"/>
      <c r="E520" s="27"/>
      <c r="H520" s="26"/>
    </row>
    <row r="521" spans="1:8" ht="13" x14ac:dyDescent="0.6">
      <c r="A521" s="29"/>
      <c r="B521" s="29"/>
      <c r="C521" s="28"/>
      <c r="D521" s="28"/>
      <c r="E521" s="27"/>
      <c r="H521" s="26"/>
    </row>
    <row r="522" spans="1:8" ht="13" x14ac:dyDescent="0.6">
      <c r="A522" s="29"/>
      <c r="B522" s="29"/>
      <c r="C522" s="28"/>
      <c r="D522" s="28"/>
      <c r="E522" s="27"/>
      <c r="H522" s="26"/>
    </row>
    <row r="523" spans="1:8" ht="13" x14ac:dyDescent="0.6">
      <c r="A523" s="29"/>
      <c r="B523" s="29"/>
      <c r="C523" s="28"/>
      <c r="D523" s="28"/>
      <c r="E523" s="27"/>
      <c r="H523" s="26"/>
    </row>
    <row r="524" spans="1:8" ht="13" x14ac:dyDescent="0.6">
      <c r="A524" s="29"/>
      <c r="B524" s="29"/>
      <c r="C524" s="28"/>
      <c r="D524" s="28"/>
      <c r="E524" s="27"/>
      <c r="H524" s="26"/>
    </row>
    <row r="525" spans="1:8" ht="13" x14ac:dyDescent="0.6">
      <c r="A525" s="29"/>
      <c r="B525" s="29"/>
      <c r="C525" s="28"/>
      <c r="D525" s="28"/>
      <c r="E525" s="27"/>
      <c r="H525" s="26"/>
    </row>
    <row r="526" spans="1:8" ht="13" x14ac:dyDescent="0.6">
      <c r="A526" s="29"/>
      <c r="B526" s="29"/>
      <c r="C526" s="28"/>
      <c r="D526" s="28"/>
      <c r="E526" s="27"/>
      <c r="H526" s="26"/>
    </row>
    <row r="527" spans="1:8" ht="13" x14ac:dyDescent="0.6">
      <c r="A527" s="29"/>
      <c r="B527" s="29"/>
      <c r="C527" s="28"/>
      <c r="D527" s="28"/>
      <c r="E527" s="27"/>
      <c r="H527" s="26"/>
    </row>
    <row r="528" spans="1:8" ht="13" x14ac:dyDescent="0.6">
      <c r="A528" s="29"/>
      <c r="B528" s="29"/>
      <c r="C528" s="28"/>
      <c r="D528" s="28"/>
      <c r="E528" s="27"/>
      <c r="H528" s="26"/>
    </row>
    <row r="529" spans="1:8" ht="13" x14ac:dyDescent="0.6">
      <c r="A529" s="29"/>
      <c r="B529" s="29"/>
      <c r="C529" s="28"/>
      <c r="D529" s="28"/>
      <c r="E529" s="27"/>
      <c r="H529" s="26"/>
    </row>
    <row r="530" spans="1:8" ht="13" x14ac:dyDescent="0.6">
      <c r="A530" s="29"/>
      <c r="B530" s="29"/>
      <c r="C530" s="28"/>
      <c r="D530" s="28"/>
      <c r="E530" s="27"/>
      <c r="H530" s="26"/>
    </row>
    <row r="531" spans="1:8" ht="13" x14ac:dyDescent="0.6">
      <c r="A531" s="29"/>
      <c r="B531" s="29"/>
      <c r="C531" s="28"/>
      <c r="D531" s="28"/>
      <c r="E531" s="27"/>
      <c r="H531" s="26"/>
    </row>
    <row r="532" spans="1:8" ht="13" x14ac:dyDescent="0.6">
      <c r="A532" s="29"/>
      <c r="B532" s="29"/>
      <c r="C532" s="28"/>
      <c r="D532" s="28"/>
      <c r="E532" s="27"/>
      <c r="H532" s="26"/>
    </row>
    <row r="533" spans="1:8" ht="13" x14ac:dyDescent="0.6">
      <c r="A533" s="29"/>
      <c r="B533" s="29"/>
      <c r="C533" s="28"/>
      <c r="D533" s="28"/>
      <c r="E533" s="27"/>
      <c r="H533" s="26"/>
    </row>
    <row r="534" spans="1:8" ht="13" x14ac:dyDescent="0.6">
      <c r="A534" s="29"/>
      <c r="B534" s="29"/>
      <c r="C534" s="28"/>
      <c r="D534" s="28"/>
      <c r="E534" s="27"/>
      <c r="H534" s="26"/>
    </row>
    <row r="535" spans="1:8" ht="13" x14ac:dyDescent="0.6">
      <c r="A535" s="29"/>
      <c r="B535" s="29"/>
      <c r="C535" s="28"/>
      <c r="D535" s="28"/>
      <c r="E535" s="27"/>
      <c r="H535" s="26"/>
    </row>
    <row r="536" spans="1:8" ht="13" x14ac:dyDescent="0.6">
      <c r="A536" s="29"/>
      <c r="B536" s="29"/>
      <c r="C536" s="28"/>
      <c r="D536" s="28"/>
      <c r="E536" s="27"/>
      <c r="H536" s="26"/>
    </row>
    <row r="537" spans="1:8" ht="13" x14ac:dyDescent="0.6">
      <c r="A537" s="29"/>
      <c r="B537" s="29"/>
      <c r="C537" s="28"/>
      <c r="D537" s="28"/>
      <c r="E537" s="27"/>
      <c r="H537" s="26"/>
    </row>
    <row r="538" spans="1:8" ht="13" x14ac:dyDescent="0.6">
      <c r="A538" s="29"/>
      <c r="B538" s="29"/>
      <c r="C538" s="28"/>
      <c r="D538" s="28"/>
      <c r="E538" s="27"/>
      <c r="H538" s="26"/>
    </row>
    <row r="539" spans="1:8" ht="13" x14ac:dyDescent="0.6">
      <c r="A539" s="29"/>
      <c r="B539" s="29"/>
      <c r="C539" s="28"/>
      <c r="D539" s="28"/>
      <c r="E539" s="27"/>
      <c r="H539" s="26"/>
    </row>
    <row r="540" spans="1:8" ht="13" x14ac:dyDescent="0.6">
      <c r="A540" s="29"/>
      <c r="B540" s="29"/>
      <c r="C540" s="28"/>
      <c r="D540" s="28"/>
      <c r="E540" s="27"/>
      <c r="H540" s="26"/>
    </row>
    <row r="541" spans="1:8" ht="13" x14ac:dyDescent="0.6">
      <c r="A541" s="29"/>
      <c r="B541" s="29"/>
      <c r="C541" s="28"/>
      <c r="D541" s="28"/>
      <c r="E541" s="27"/>
      <c r="H541" s="26"/>
    </row>
    <row r="542" spans="1:8" ht="13" x14ac:dyDescent="0.6">
      <c r="A542" s="29"/>
      <c r="B542" s="29"/>
      <c r="C542" s="28"/>
      <c r="D542" s="28"/>
      <c r="E542" s="27"/>
      <c r="H542" s="26"/>
    </row>
    <row r="543" spans="1:8" ht="13" x14ac:dyDescent="0.6">
      <c r="A543" s="29"/>
      <c r="B543" s="29"/>
      <c r="C543" s="28"/>
      <c r="D543" s="28"/>
      <c r="E543" s="27"/>
      <c r="H543" s="26"/>
    </row>
    <row r="544" spans="1:8" ht="13" x14ac:dyDescent="0.6">
      <c r="A544" s="29"/>
      <c r="B544" s="29"/>
      <c r="C544" s="28"/>
      <c r="D544" s="28"/>
      <c r="E544" s="27"/>
      <c r="H544" s="26"/>
    </row>
    <row r="545" spans="1:8" ht="13" x14ac:dyDescent="0.6">
      <c r="A545" s="29"/>
      <c r="B545" s="29"/>
      <c r="C545" s="28"/>
      <c r="D545" s="28"/>
      <c r="E545" s="27"/>
      <c r="H545" s="26"/>
    </row>
    <row r="546" spans="1:8" ht="13" x14ac:dyDescent="0.6">
      <c r="A546" s="29"/>
      <c r="B546" s="29"/>
      <c r="C546" s="28"/>
      <c r="D546" s="28"/>
      <c r="E546" s="27"/>
      <c r="H546" s="26"/>
    </row>
    <row r="547" spans="1:8" ht="13" x14ac:dyDescent="0.6">
      <c r="A547" s="29"/>
      <c r="B547" s="29"/>
      <c r="C547" s="28"/>
      <c r="D547" s="28"/>
      <c r="E547" s="27"/>
      <c r="H547" s="26"/>
    </row>
    <row r="548" spans="1:8" ht="13" x14ac:dyDescent="0.6">
      <c r="A548" s="29"/>
      <c r="B548" s="29"/>
      <c r="C548" s="28"/>
      <c r="D548" s="28"/>
      <c r="E548" s="27"/>
      <c r="H548" s="26"/>
    </row>
    <row r="549" spans="1:8" ht="13" x14ac:dyDescent="0.6">
      <c r="A549" s="29"/>
      <c r="B549" s="29"/>
      <c r="C549" s="28"/>
      <c r="D549" s="28"/>
      <c r="E549" s="27"/>
      <c r="H549" s="26"/>
    </row>
    <row r="550" spans="1:8" ht="13" x14ac:dyDescent="0.6">
      <c r="A550" s="29"/>
      <c r="B550" s="29"/>
      <c r="C550" s="28"/>
      <c r="D550" s="28"/>
      <c r="E550" s="27"/>
      <c r="H550" s="26"/>
    </row>
    <row r="551" spans="1:8" ht="13" x14ac:dyDescent="0.6">
      <c r="A551" s="29"/>
      <c r="B551" s="29"/>
      <c r="C551" s="28"/>
      <c r="D551" s="28"/>
      <c r="E551" s="27"/>
      <c r="H551" s="26"/>
    </row>
    <row r="552" spans="1:8" ht="13" x14ac:dyDescent="0.6">
      <c r="A552" s="29"/>
      <c r="B552" s="29"/>
      <c r="C552" s="28"/>
      <c r="D552" s="28"/>
      <c r="E552" s="27"/>
      <c r="H552" s="26"/>
    </row>
  </sheetData>
  <mergeCells count="1">
    <mergeCell ref="A1:H1"/>
  </mergeCells>
  <conditionalFormatting sqref="E4:E108">
    <cfRule type="cellIs" dxfId="0" priority="1" operator="notEqual">
      <formula>"No"</formula>
    </cfRule>
  </conditionalFormatting>
  <dataValidations count="1">
    <dataValidation type="list" allowBlank="1" sqref="F3:G3 E3:E552" xr:uid="{00000000-0002-0000-0300-000000000000}">
      <formula1>#REF!</formula1>
    </dataValidation>
  </dataValidations>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4c57150-95d3-44f5-b623-81a9dee31073" xsi:nil="true"/>
    <lcf76f155ced4ddcb4097134ff3c332f xmlns="841ce161-2f11-4fff-9b19-93e9b368de6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73C2DDB3CD31449998C8DF81E1EB713" ma:contentTypeVersion="15" ma:contentTypeDescription="Create a new document." ma:contentTypeScope="" ma:versionID="cd2d9b744c04e179f3f499213e42a264">
  <xsd:schema xmlns:xsd="http://www.w3.org/2001/XMLSchema" xmlns:xs="http://www.w3.org/2001/XMLSchema" xmlns:p="http://schemas.microsoft.com/office/2006/metadata/properties" xmlns:ns2="841ce161-2f11-4fff-9b19-93e9b368de60" xmlns:ns3="44c57150-95d3-44f5-b623-81a9dee31073" targetNamespace="http://schemas.microsoft.com/office/2006/metadata/properties" ma:root="true" ma:fieldsID="753f99d05f3f417550a1cce3d02ad244" ns2:_="" ns3:_="">
    <xsd:import namespace="841ce161-2f11-4fff-9b19-93e9b368de60"/>
    <xsd:import namespace="44c57150-95d3-44f5-b623-81a9dee3107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1ce161-2f11-4fff-9b19-93e9b368de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702237d5-7af0-4a45-8a54-8adec39992d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c57150-95d3-44f5-b623-81a9dee31073"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62b7f15-1d09-46b3-acdc-1bfe72f7aa22}" ma:internalName="TaxCatchAll" ma:showField="CatchAllData" ma:web="44c57150-95d3-44f5-b623-81a9dee3107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1087D4-9F94-4615-8E49-C53FBFC565B5}">
  <ds:schemaRefs>
    <ds:schemaRef ds:uri="http://schemas.microsoft.com/office/2006/documentManagement/types"/>
    <ds:schemaRef ds:uri="http://www.w3.org/XML/1998/namespace"/>
    <ds:schemaRef ds:uri="http://purl.org/dc/elements/1.1/"/>
    <ds:schemaRef ds:uri="http://schemas.microsoft.com/office/2006/metadata/properties"/>
    <ds:schemaRef ds:uri="841ce161-2f11-4fff-9b19-93e9b368de60"/>
    <ds:schemaRef ds:uri="http://schemas.microsoft.com/office/infopath/2007/PartnerControls"/>
    <ds:schemaRef ds:uri="http://purl.org/dc/terms/"/>
    <ds:schemaRef ds:uri="http://schemas.openxmlformats.org/package/2006/metadata/core-properties"/>
    <ds:schemaRef ds:uri="44c57150-95d3-44f5-b623-81a9dee31073"/>
    <ds:schemaRef ds:uri="http://purl.org/dc/dcmitype/"/>
  </ds:schemaRefs>
</ds:datastoreItem>
</file>

<file path=customXml/itemProps2.xml><?xml version="1.0" encoding="utf-8"?>
<ds:datastoreItem xmlns:ds="http://schemas.openxmlformats.org/officeDocument/2006/customXml" ds:itemID="{2CF8E5FF-B98B-4EF3-BA92-3E8AC5F5C3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1ce161-2f11-4fff-9b19-93e9b368de60"/>
    <ds:schemaRef ds:uri="44c57150-95d3-44f5-b623-81a9dee31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11A415-2290-4C38-8257-43C4C4F7BDC2}">
  <ds:schemaRefs>
    <ds:schemaRef ds:uri="http://schemas.microsoft.com/sharepoint/v3/contenttype/forms"/>
  </ds:schemaRefs>
</ds:datastoreItem>
</file>

<file path=docMetadata/LabelInfo.xml><?xml version="1.0" encoding="utf-8"?>
<clbl:labelList xmlns:clbl="http://schemas.microsoft.com/office/2020/mipLabelMetadata">
  <clbl:label id="{e4e0fec5-fc6c-4dd6-ae37-4bdb30e156b9}" enabled="0" method="" siteId="{e4e0fec5-fc6c-4dd6-ae37-4bdb30e156b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Revisions</vt:lpstr>
      <vt:lpstr>v6.1 Spec Errata vs Test Impact</vt:lpstr>
      <vt:lpstr>v6.0 Spec Errata vs Test Impact</vt:lpstr>
      <vt:lpstr>v5.4 Spec Errata vs Test Impact</vt:lpstr>
      <vt:lpstr>v5.3 Spec Errata vs Test Impact</vt:lpstr>
      <vt:lpstr>v5.2 Spec Errata vs Test Impact</vt:lpstr>
    </vt:vector>
  </TitlesOfParts>
  <Company>Bluetooth SIG,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Integrated Errata - Core TCRL Test Impact p6</dc:title>
  <dc:creator>Bluetooth SIG, Inc.</dc:creator>
  <cp:lastModifiedBy>Dawn April McGinty</cp:lastModifiedBy>
  <dcterms:created xsi:type="dcterms:W3CDTF">2019-11-25T16:19:22Z</dcterms:created>
  <dcterms:modified xsi:type="dcterms:W3CDTF">2025-05-05T17:55:27Z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0x010100173C2DDB3CD31449998C8DF81E1EB713</vt:lpwstr>
  </property>
  <property fmtid="{D5CDD505-2E9C-101B-9397-08002B2CF9AE}" pid="3" name="SIGGroup">
    <vt:lpwstr>85;#Core Specification Working Group (core)|eb52b2f6-76e8-4851-98f5-f24dc25474dc</vt:lpwstr>
  </property>
  <property fmtid="{D5CDD505-2E9C-101B-9397-08002B2CF9AE}" pid="4" name="SpecificationName">
    <vt:lpwstr>51;#Core Specification (CORE)|47f92488-d5e1-4f33-99a7-a7259e08d6cd</vt:lpwstr>
  </property>
  <property fmtid="{D5CDD505-2E9C-101B-9397-08002B2CF9AE}" pid="5" name="IsCharter">
    <vt:bool>false</vt:bool>
  </property>
  <property fmtid="{D5CDD505-2E9C-101B-9397-08002B2CF9AE}" pid="6" name="SpecificationVersion">
    <vt:lpwstr/>
  </property>
  <property fmtid="{D5CDD505-2E9C-101B-9397-08002B2CF9AE}" pid="7" name="_dlc_DocIdItemGuid">
    <vt:lpwstr>b32cd6d5-1910-4aec-89af-744bad5bbc7c</vt:lpwstr>
  </property>
  <property fmtid="{D5CDD505-2E9C-101B-9397-08002B2CF9AE}" pid="8" name="FRDStatus">
    <vt:lpwstr/>
  </property>
  <property fmtid="{D5CDD505-2E9C-101B-9397-08002B2CF9AE}" pid="9" name="RelatedFeatures">
    <vt:lpwstr/>
  </property>
  <property fmtid="{D5CDD505-2E9C-101B-9397-08002B2CF9AE}" pid="10" name="ProjectName">
    <vt:lpwstr/>
  </property>
  <property fmtid="{D5CDD505-2E9C-101B-9397-08002B2CF9AE}" pid="11" name="ProjectNames">
    <vt:lpwstr/>
  </property>
  <property fmtid="{D5CDD505-2E9C-101B-9397-08002B2CF9AE}" pid="12" name="SpecificationFeature">
    <vt:lpwstr/>
  </property>
  <property fmtid="{D5CDD505-2E9C-101B-9397-08002B2CF9AE}" pid="13" name="SpecificationStatus">
    <vt:lpwstr/>
  </property>
  <property fmtid="{D5CDD505-2E9C-101B-9397-08002B2CF9AE}" pid="14" name="i3d42963d77246029b788c526d812ab9">
    <vt:lpwstr/>
  </property>
  <property fmtid="{D5CDD505-2E9C-101B-9397-08002B2CF9AE}" pid="15" name="o101a53162184b3baea6fd3c8413271e">
    <vt:lpwstr/>
  </property>
  <property fmtid="{D5CDD505-2E9C-101B-9397-08002B2CF9AE}" pid="16" name="fa728cb3b7614c019e881e27d3295e54">
    <vt:lpwstr/>
  </property>
  <property fmtid="{D5CDD505-2E9C-101B-9397-08002B2CF9AE}" pid="17" name="MediaServiceImageTags">
    <vt:lpwstr/>
  </property>
</Properties>
</file>